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1280" windowHeight="7245" activeTab="1"/>
  </bookViews>
  <sheets>
    <sheet name="Instructions" sheetId="1" r:id="rId1"/>
    <sheet name="Input &amp; Analysis" sheetId="2" r:id="rId2"/>
    <sheet name="Insurance Prices" sheetId="3" r:id="rId3"/>
    <sheet name="Loan Rates" sheetId="4" r:id="rId4"/>
  </sheets>
  <definedNames>
    <definedName name="Coverage">'Input &amp; Analysis'!$A$206:$A$213</definedName>
    <definedName name="Insurance">'Input &amp; Analysis'!$A$200:$A$203</definedName>
    <definedName name="_xlnm.Print_Area" localSheetId="1">'Input &amp; Analysis'!$A$1:$L$94</definedName>
    <definedName name="_xlnm.Print_Area" localSheetId="0">'Instructions'!$C$3:$K$93</definedName>
    <definedName name="_xlnm.Print_Area" localSheetId="2">'Insurance Prices'!$A$2:$G$31</definedName>
    <definedName name="_xlnm.Print_Area" localSheetId="3">'Loan Rates'!$A$1:$O$56</definedName>
  </definedNames>
  <calcPr fullCalcOnLoad="1"/>
</workbook>
</file>

<file path=xl/sharedStrings.xml><?xml version="1.0" encoding="utf-8"?>
<sst xmlns="http://schemas.openxmlformats.org/spreadsheetml/2006/main" count="337" uniqueCount="259">
  <si>
    <t>Yield</t>
  </si>
  <si>
    <t>Price</t>
  </si>
  <si>
    <t>LDP:</t>
  </si>
  <si>
    <t>% of APH</t>
  </si>
  <si>
    <t>Premium</t>
  </si>
  <si>
    <t>Futures</t>
  </si>
  <si>
    <t>Increment</t>
  </si>
  <si>
    <t>Marketing</t>
  </si>
  <si>
    <t>Start</t>
  </si>
  <si>
    <t xml:space="preserve"> Futures</t>
  </si>
  <si>
    <t>Basis (cash-futures)</t>
  </si>
  <si>
    <t xml:space="preserve">          Yield</t>
  </si>
  <si>
    <t>Crop</t>
  </si>
  <si>
    <t>Corn</t>
  </si>
  <si>
    <t>At Harvest Price</t>
  </si>
  <si>
    <t>Cash</t>
  </si>
  <si>
    <t>Harvest</t>
  </si>
  <si>
    <t>Crop Name</t>
  </si>
  <si>
    <t>Graph/Table Analysis Setup</t>
  </si>
  <si>
    <t>County Loan Rate</t>
  </si>
  <si>
    <t xml:space="preserve">APH Yield </t>
  </si>
  <si>
    <t>Units/Ac.</t>
  </si>
  <si>
    <t>Puts - premium:</t>
  </si>
  <si>
    <t>Calls - premium:</t>
  </si>
  <si>
    <t>Counties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</si>
  <si>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</si>
  <si>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</si>
  <si>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</si>
  <si>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</si>
  <si>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</si>
  <si>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</si>
  <si>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</si>
  <si>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</si>
  <si>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</si>
  <si>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</si>
  <si>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</si>
  <si>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</si>
  <si>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</si>
  <si>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</si>
  <si>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</si>
  <si>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</si>
  <si>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</si>
  <si>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</si>
  <si>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</si>
  <si>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</si>
  <si>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</si>
  <si>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</si>
  <si>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</si>
  <si>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</si>
  <si>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</si>
  <si>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</si>
  <si>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</si>
  <si>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</si>
  <si>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</si>
  <si>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</si>
  <si>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</si>
  <si>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</si>
  <si>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</si>
  <si>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</si>
  <si>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</si>
  <si>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</si>
  <si>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</si>
  <si>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</si>
  <si>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</si>
  <si>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</si>
  <si>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</si>
  <si>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</si>
  <si>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</si>
  <si>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</si>
  <si>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</si>
  <si>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</si>
  <si>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</si>
  <si>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</si>
  <si>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</si>
  <si>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</si>
  <si>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</si>
  <si>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</si>
  <si>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</si>
  <si>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HRSW</t>
  </si>
  <si>
    <t>Durum</t>
  </si>
  <si>
    <t>HRWW</t>
  </si>
  <si>
    <t>Barley</t>
  </si>
  <si>
    <t>Oats</t>
  </si>
  <si>
    <t>Flax</t>
  </si>
  <si>
    <t>Canola</t>
  </si>
  <si>
    <t>Mustard</t>
  </si>
  <si>
    <t>Lentils</t>
  </si>
  <si>
    <t>(bu)</t>
  </si>
  <si>
    <t>(lb)</t>
  </si>
  <si>
    <t>Field Peas</t>
  </si>
  <si>
    <t>Rye</t>
  </si>
  <si>
    <t>Soybeans</t>
  </si>
  <si>
    <t>Spring Wheat</t>
  </si>
  <si>
    <t>Oil Sunflower</t>
  </si>
  <si>
    <t>Winter Wheat*</t>
  </si>
  <si>
    <t>*Only insurable if adequate stand in spring</t>
  </si>
  <si>
    <t>Pinto Beans</t>
  </si>
  <si>
    <t>Navy Beans</t>
  </si>
  <si>
    <t>a model constructed by Matthew Diersen, South Dakota State Univ., 2000.</t>
  </si>
  <si>
    <t>There are four worksheets in this program which are designated by the tabs at the bottom of the screen.</t>
  </si>
  <si>
    <t>Input &amp; Analysis</t>
  </si>
  <si>
    <t>Basis</t>
  </si>
  <si>
    <t xml:space="preserve">Crop Insurance: </t>
  </si>
  <si>
    <t xml:space="preserve">Marketing:          </t>
  </si>
  <si>
    <t xml:space="preserve">Up to three marketing options are available: Sell Futures, Buy Puts and Buy Calls.  Any combination of the </t>
  </si>
  <si>
    <t xml:space="preserve">three can be used at any level that you specify.  A limitation is that the program does not allow a marketing </t>
  </si>
  <si>
    <t xml:space="preserve">tool to be used more than once.  (i.e. multiple sales at different price levels)       </t>
  </si>
  <si>
    <t>Graph/Table Analysis Setup:</t>
  </si>
  <si>
    <t xml:space="preserve">Beneath the input section in the &lt;Input &amp; Analysis&gt; worksheet there are three output sections.  A graph and </t>
  </si>
  <si>
    <t xml:space="preserve">    </t>
  </si>
  <si>
    <t>Limitations and Assumptions</t>
  </si>
  <si>
    <t xml:space="preserve">Although the program allows the use of any combination of three marketing tools; Futures Sales, Buy Puts </t>
  </si>
  <si>
    <t xml:space="preserve">and Buy Calls, it does not allow any individual marketing tool to be used more than once per scenario.  For </t>
  </si>
  <si>
    <t>example it does not allow multiple futures sales, such as stepping up sales at different futures prices.</t>
  </si>
  <si>
    <t xml:space="preserve">The Basis is assumed to be fixed over time.  The program does not consider any possible gains or losses </t>
  </si>
  <si>
    <t>from a change in basis over time.</t>
  </si>
  <si>
    <t>determining gains or losses from Selling Futures, Buying Puts and Buying Calls.</t>
  </si>
  <si>
    <t xml:space="preserve">       </t>
  </si>
  <si>
    <t>This program simulates gross revenue per acre (less crop insurance and marketing costs) for specified crop</t>
  </si>
  <si>
    <t>insurance and marketing strategies, over a range of harvest time prices and yields.  It is an enhancement of</t>
  </si>
  <si>
    <t xml:space="preserve"> Andrew Swenson, NDSU Extension Service</t>
  </si>
  <si>
    <t>An educational tool for managing crop revenue risk</t>
  </si>
  <si>
    <t xml:space="preserve">Analysis </t>
  </si>
  <si>
    <t>**NDSU and its entities makes no warranties, either expressed or implied, concerning this program.**</t>
  </si>
  <si>
    <t xml:space="preserve">&lt;Instructions&gt; </t>
  </si>
  <si>
    <t>&lt;Insurance Prices&gt;</t>
  </si>
  <si>
    <t xml:space="preserve">&lt;Loan Rates&gt; </t>
  </si>
  <si>
    <t>- Enter the crop name.</t>
  </si>
  <si>
    <t>- Enter the expected basis (cash price minus futures price).  In North Dakota, the basis</t>
  </si>
  <si>
    <t xml:space="preserve">  is typically a negative number and should be entered in that manner.</t>
  </si>
  <si>
    <t xml:space="preserve">         </t>
  </si>
  <si>
    <t xml:space="preserve">                           </t>
  </si>
  <si>
    <t xml:space="preserve">APH yield           </t>
  </si>
  <si>
    <t xml:space="preserve">Crop Name         </t>
  </si>
  <si>
    <t>Coverage Level</t>
  </si>
  <si>
    <t xml:space="preserve">  Start the yield at 0 to determine revenue when there is total crop loss.</t>
  </si>
  <si>
    <t xml:space="preserve">  There are five price and ten yield levels, totaling 50 price and yield combinations.  </t>
  </si>
  <si>
    <t xml:space="preserve">Start </t>
  </si>
  <si>
    <t xml:space="preserve">Increment </t>
  </si>
  <si>
    <t xml:space="preserve">Puts – premium: </t>
  </si>
  <si>
    <t>Calls – premium:</t>
  </si>
  <si>
    <t>Cash value at harvest:</t>
  </si>
  <si>
    <t>Wheat</t>
  </si>
  <si>
    <t>APH</t>
  </si>
  <si>
    <t>Confectionery Sunfl.</t>
  </si>
  <si>
    <t>Barley**</t>
  </si>
  <si>
    <t>Corn***</t>
  </si>
  <si>
    <t>Millet***</t>
  </si>
  <si>
    <t>Safflower***</t>
  </si>
  <si>
    <t>Lentils***</t>
  </si>
  <si>
    <t>Lg.Chickpea***</t>
  </si>
  <si>
    <t>APH****</t>
  </si>
  <si>
    <t>****Highest price election</t>
  </si>
  <si>
    <t>***Not available in all counties, or only available by written agreement in some counties</t>
  </si>
  <si>
    <t>Soybean</t>
  </si>
  <si>
    <t>Lg Chickpea</t>
  </si>
  <si>
    <t>Sm Chickpea</t>
  </si>
  <si>
    <t xml:space="preserve">- Enter the lowest harvest time futures price and yield you want to consider in the analysis.  </t>
  </si>
  <si>
    <t xml:space="preserve">The program does not consider any potential gains or losses from storing grain. Revenue sources are: all grain </t>
  </si>
  <si>
    <t>*Revenue in lower quartile is displayed in light yellow and upper quartile is displayed in light blue.</t>
  </si>
  <si>
    <t xml:space="preserve">- Enter the county loan rate for the crop. Refer to the &lt;Loan Rates&gt; tab below. Enter 70% </t>
  </si>
  <si>
    <t xml:space="preserve">  of the county loan rate if the FSA farm unit is enrolled in ACRE.  The loan rate entry is </t>
  </si>
  <si>
    <t>Sm.Chickpea***</t>
  </si>
  <si>
    <t>Projected</t>
  </si>
  <si>
    <t>Revenue Protection</t>
  </si>
  <si>
    <t>Protection</t>
  </si>
  <si>
    <t>tba</t>
  </si>
  <si>
    <t xml:space="preserve">The Harvest Futures Price is assumed to be the same for determining the harvest price for the revenue </t>
  </si>
  <si>
    <t xml:space="preserve">protection policy, for determining cash sales price at harvest (Harvest Futures Price + Basis) and for </t>
  </si>
  <si>
    <t xml:space="preserve">production valued at the harvest cash price, LDP's, crop insurance indemnity payments, and gains or losses </t>
  </si>
  <si>
    <t>Revenue</t>
  </si>
  <si>
    <t>from using the marketing tools of Selling Futures (or forward cash contracting), Buying Puts and Buying Calls.</t>
  </si>
  <si>
    <t xml:space="preserve">&lt;Input &amp; Analysis&gt;  </t>
  </si>
  <si>
    <t xml:space="preserve">  to view instructions (this screen)</t>
  </si>
  <si>
    <t xml:space="preserve">  to enter data and view analysis</t>
  </si>
  <si>
    <t>Selection:</t>
  </si>
  <si>
    <t>Harv.Price</t>
  </si>
  <si>
    <t>Revenue - premiums:</t>
  </si>
  <si>
    <t xml:space="preserve">  Coverage Level</t>
  </si>
  <si>
    <t xml:space="preserve">  Premium per Acre</t>
  </si>
  <si>
    <t>Sell</t>
  </si>
  <si>
    <t>No insur.</t>
  </si>
  <si>
    <t>At Harvest</t>
  </si>
  <si>
    <t>Setup</t>
  </si>
  <si>
    <t>Coverage Levels</t>
  </si>
  <si>
    <t>Futures*</t>
  </si>
  <si>
    <t>Intermediate Calculations</t>
  </si>
  <si>
    <t>Crop Insurance Product</t>
  </si>
  <si>
    <t>Name</t>
  </si>
  <si>
    <t>Current</t>
  </si>
  <si>
    <t>**Also available for Malting Barley is option A) market price adjustment</t>
  </si>
  <si>
    <t>*You can enter forward cash sales here, but still enter</t>
  </si>
  <si>
    <t>Insurance Policy</t>
  </si>
  <si>
    <t xml:space="preserve">- Select the type of insurance policy you wish to use.  Select 'No insurance' if the crop will </t>
  </si>
  <si>
    <t xml:space="preserve">  not be insured.  The program includes the current Revenue Protection policy rule which </t>
  </si>
  <si>
    <t xml:space="preserve">  the Projected Price.  There is no lower limit.</t>
  </si>
  <si>
    <t xml:space="preserve">  places an upper limit on the Harvest Price, for insurance indemnity calculation, of twice</t>
  </si>
  <si>
    <t>- Select the percent coverage level for the selected insurance.</t>
  </si>
  <si>
    <t>Premium per Acre</t>
  </si>
  <si>
    <t xml:space="preserve">Insured Price </t>
  </si>
  <si>
    <t>Insur. - premium</t>
  </si>
  <si>
    <t>- Value of total yield using harvest cash price (Harvest Futures Price + Basis)</t>
  </si>
  <si>
    <t>- Crop Insurance indemnity payment minus the cost of insurance.</t>
  </si>
  <si>
    <t xml:space="preserve">  where the maximum loss is the cost of the premium times the units purchased.</t>
  </si>
  <si>
    <t>=((Put Strike Price - Harvest Futures Price – premium) * number of units purchased)</t>
  </si>
  <si>
    <t>=((harvest Futures price – Call Strike price – premium) * number of units purchased)</t>
  </si>
  <si>
    <t>- There is a loan deficiency payment if the loan rate is greater than harvest cash price.</t>
  </si>
  <si>
    <t xml:space="preserve">  Harvest cash price is Harvest Futures Price plus Basis.</t>
  </si>
  <si>
    <t xml:space="preserve">  used to calculate any loan deficiency payment (LDP).  </t>
  </si>
  <si>
    <t>Select the &lt;Input &amp; Analysis&gt; tab below.  Entries should be made in the green colored cells.</t>
  </si>
  <si>
    <t>*APH x Coverage level x (higher of Projected &amp; Harvest Price, not</t>
  </si>
  <si>
    <t xml:space="preserve">      to exceed twice the Projected price)</t>
  </si>
  <si>
    <t xml:space="preserve">  Revenue Guarantee of Revenue Insurance*</t>
  </si>
  <si>
    <t>Buy</t>
  </si>
  <si>
    <t>Puts</t>
  </si>
  <si>
    <t>Calls</t>
  </si>
  <si>
    <t>Itemized and Total Revenue per acre at Various Yields and Prices</t>
  </si>
  <si>
    <t>Total Revenue per Acre, Less Insurance and Marketing Costs, at Various Yields and Prices*</t>
  </si>
  <si>
    <t>Gain(loss) forward sale:*</t>
  </si>
  <si>
    <t xml:space="preserve"> a futures price. (futures price = cash price - basis.)</t>
  </si>
  <si>
    <t>Gain(loss) forward sale:</t>
  </si>
  <si>
    <t>- Enter the percent of APH for which to forward sell, buy puts or buy calls.</t>
  </si>
  <si>
    <t>- This displays "% of APH" in bushels, lbs, or cwt to forward sell, buy puts or buy calls.</t>
  </si>
  <si>
    <t>- Enter the insurable crop price for the policy you selected. See &lt;Insurance Prices&gt; screen.</t>
  </si>
  <si>
    <t xml:space="preserve">  Make sure to use the correct insured price for the selected crop insurance policy.</t>
  </si>
  <si>
    <t xml:space="preserve">- Enter your expected premium cost per acre for the selected insurance and coverage level.  </t>
  </si>
  <si>
    <t xml:space="preserve">  (i.e. if $6.00 forward cash sale and $-.50 basis, enter $6.50 as the futures price.)</t>
  </si>
  <si>
    <r>
      <t xml:space="preserve">- Under "Sell Futures" enter the </t>
    </r>
    <r>
      <rPr>
        <u val="single"/>
        <sz val="10"/>
        <rFont val="Arial"/>
        <family val="2"/>
      </rPr>
      <t>futures price</t>
    </r>
    <r>
      <rPr>
        <sz val="10"/>
        <rFont val="Arial"/>
        <family val="2"/>
      </rPr>
      <t xml:space="preserve"> (harvest month) to sell a futures contract </t>
    </r>
    <r>
      <rPr>
        <u val="single"/>
        <sz val="10"/>
        <rFont val="Arial"/>
        <family val="2"/>
      </rPr>
      <t>and</t>
    </r>
  </si>
  <si>
    <t xml:space="preserve">  for making forward sales with cash, hedge-to-arrive, or basis-fixed contracts.</t>
  </si>
  <si>
    <t xml:space="preserve">- Under "Buy Puts" and "Buy Calls" enter the strike price (harvest month). </t>
  </si>
  <si>
    <t>- Enter the premium cost of the Puts or Calls. Include the per bushel cost of commission.</t>
  </si>
  <si>
    <t xml:space="preserve">- Enter the increments to change the harvest time futures price and yields for the analysis.  </t>
  </si>
  <si>
    <t xml:space="preserve">table provide a summary of revenue per acre for a range of harvest prices and yields, given the specified crop </t>
  </si>
  <si>
    <t xml:space="preserve">insurance and marketing strategy.  Refer to the last section, a table, “Itemized and Total Revenue per acre at </t>
  </si>
  <si>
    <t>Various Yields and Prices" for the following revenue calculations.</t>
  </si>
  <si>
    <t>- Enter actual production history.  This is used for crop insurance and for indicating what</t>
  </si>
  <si>
    <t xml:space="preserve">  portion of the crop (% of APH) is used for various marketing strategies.</t>
  </si>
  <si>
    <t xml:space="preserve">   and option B) contract price subject to a maximum market price differential.</t>
  </si>
  <si>
    <t>Id.</t>
  </si>
  <si>
    <t xml:space="preserve">  The calculation for determining the amount of gain or loss is:</t>
  </si>
  <si>
    <t xml:space="preserve">  (("Sell Futures" Price – Harvest Futures Price) * quantity contracted)</t>
  </si>
  <si>
    <t xml:space="preserve">   Note: forward cash sale price was entered in equivelant harvest futures price.</t>
  </si>
  <si>
    <t xml:space="preserve">  Note: If forward cash sale, price was entered in equivalent harvest futures price.</t>
  </si>
  <si>
    <t xml:space="preserve">Cash value </t>
  </si>
  <si>
    <t xml:space="preserve">ale:  - Gain or loss from selling futures (or hedge-to-arrive, basis-fixed, or forward cash sale). </t>
  </si>
  <si>
    <t>*This is the gain(loss), relative to "Cash value at harvest," from forward selling grain with futures, hedge-to-arrive, basis-fixed or forward cash sale</t>
  </si>
  <si>
    <t xml:space="preserve">  Note: Loan rates can be omitted if the chance of LDP's is extremely remote, as in 2015.</t>
  </si>
  <si>
    <t>Field Pea</t>
  </si>
  <si>
    <t>Safflower</t>
  </si>
  <si>
    <t>Sunflower</t>
  </si>
  <si>
    <t xml:space="preserve">- - - - - - - - - - - - - - - - - - - - - - - - - - $/bu - - - - - - - - - - - - - - - - - - - - - - - - - - - </t>
  </si>
  <si>
    <t xml:space="preserve">   - - - - - - - - - - - - - - - - - $/cwt - - - - - - - - - - - - -               </t>
  </si>
  <si>
    <t>NATIONAL AVG</t>
  </si>
  <si>
    <t xml:space="preserve">  lists prices for which crops can be insured in 2016</t>
  </si>
  <si>
    <t xml:space="preserve">  2015 loan rates for North Dakota </t>
  </si>
  <si>
    <t>Crop Insurance Prices for Selected Crops and Policies, 2016, North Dakota</t>
  </si>
  <si>
    <r>
      <t xml:space="preserve">RiskMGT  </t>
    </r>
    <r>
      <rPr>
        <sz val="10"/>
        <rFont val="Arial"/>
        <family val="2"/>
      </rPr>
      <t>Version 3.15.16</t>
    </r>
  </si>
  <si>
    <t>2015 North Dakota Crop Loan Rates by County</t>
  </si>
  <si>
    <r>
      <t>Statewide (every county) $/</t>
    </r>
    <r>
      <rPr>
        <b/>
        <u val="single"/>
        <sz val="10"/>
        <rFont val="Arial"/>
        <family val="2"/>
      </rPr>
      <t>cwt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</si>
</sst>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0_);_(* \(#,##0.0000\);_(* &quot;-&quot;????_);_(@_)"/>
    <numFmt numFmtId="176" formatCode="0.0000"/>
    <numFmt numFmtId="177" formatCode="0.00000"/>
    <numFmt numFmtId="178" formatCode="_(* #,##0.0_);_(* \(#,##0.0\);_(* &quot;-&quot;_);_(@_)"/>
    <numFmt numFmtId="179" formatCode="_(* #,##0.00_);_(* \(#,##0.00\);_(* &quot;-&quot;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Continuous" vertical="center"/>
      <protection/>
    </xf>
    <xf numFmtId="0" fontId="6" fillId="0" borderId="0" xfId="57" applyNumberFormat="1" applyFont="1" applyAlignment="1">
      <alignment horizontal="centerContinuous" vertic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 quotePrefix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/>
      <protection/>
    </xf>
    <xf numFmtId="44" fontId="1" fillId="0" borderId="10" xfId="44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1" fontId="0" fillId="0" borderId="11" xfId="44" applyNumberFormat="1" applyFont="1" applyBorder="1" applyAlignment="1" applyProtection="1">
      <alignment/>
      <protection/>
    </xf>
    <xf numFmtId="41" fontId="0" fillId="0" borderId="12" xfId="44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3" xfId="44" applyNumberFormat="1" applyFont="1" applyBorder="1" applyAlignment="1" applyProtection="1">
      <alignment/>
      <protection/>
    </xf>
    <xf numFmtId="41" fontId="0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1" fontId="0" fillId="0" borderId="14" xfId="44" applyNumberFormat="1" applyFont="1" applyBorder="1" applyAlignment="1" applyProtection="1">
      <alignment/>
      <protection/>
    </xf>
    <xf numFmtId="41" fontId="0" fillId="0" borderId="1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0" borderId="12" xfId="0" applyNumberFormat="1" applyFont="1" applyBorder="1" applyAlignment="1" applyProtection="1">
      <alignment/>
      <protection/>
    </xf>
    <xf numFmtId="43" fontId="0" fillId="0" borderId="0" xfId="44" applyNumberFormat="1" applyFont="1" applyFill="1" applyBorder="1" applyAlignment="1" applyProtection="1" quotePrefix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44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 hidden="1"/>
    </xf>
    <xf numFmtId="0" fontId="0" fillId="0" borderId="0" xfId="0" applyFont="1" applyAlignment="1">
      <alignment/>
    </xf>
    <xf numFmtId="0" fontId="3" fillId="0" borderId="15" xfId="0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7" fontId="8" fillId="0" borderId="0" xfId="44" applyNumberFormat="1" applyFont="1" applyBorder="1" applyAlignment="1" applyProtection="1">
      <alignment/>
      <protection/>
    </xf>
    <xf numFmtId="7" fontId="8" fillId="0" borderId="10" xfId="44" applyNumberFormat="1" applyFont="1" applyBorder="1" applyAlignment="1" applyProtection="1">
      <alignment/>
      <protection/>
    </xf>
    <xf numFmtId="0" fontId="8" fillId="0" borderId="15" xfId="42" applyNumberFormat="1" applyFont="1" applyBorder="1" applyAlignment="1" applyProtection="1">
      <alignment/>
      <protection/>
    </xf>
    <xf numFmtId="7" fontId="8" fillId="0" borderId="16" xfId="0" applyNumberFormat="1" applyFont="1" applyBorder="1" applyAlignment="1" applyProtection="1">
      <alignment/>
      <protection/>
    </xf>
    <xf numFmtId="44" fontId="2" fillId="0" borderId="15" xfId="44" applyFont="1" applyFill="1" applyBorder="1" applyAlignment="1" applyProtection="1">
      <alignment horizontal="right"/>
      <protection/>
    </xf>
    <xf numFmtId="165" fontId="2" fillId="0" borderId="15" xfId="42" applyNumberFormat="1" applyFont="1" applyFill="1" applyBorder="1" applyAlignment="1" applyProtection="1">
      <alignment/>
      <protection/>
    </xf>
    <xf numFmtId="165" fontId="8" fillId="0" borderId="15" xfId="42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165" fontId="8" fillId="0" borderId="19" xfId="42" applyNumberFormat="1" applyFont="1" applyFill="1" applyBorder="1" applyAlignment="1" applyProtection="1">
      <alignment/>
      <protection/>
    </xf>
    <xf numFmtId="7" fontId="8" fillId="0" borderId="13" xfId="44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19" xfId="44" applyNumberFormat="1" applyFont="1" applyBorder="1" applyAlignment="1" applyProtection="1">
      <alignment/>
      <protection/>
    </xf>
    <xf numFmtId="7" fontId="8" fillId="0" borderId="14" xfId="44" applyNumberFormat="1" applyFont="1" applyBorder="1" applyAlignment="1" applyProtection="1">
      <alignment/>
      <protection/>
    </xf>
    <xf numFmtId="41" fontId="0" fillId="0" borderId="21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57" applyNumberFormat="1" applyFont="1" applyBorder="1" applyAlignment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5" fontId="0" fillId="33" borderId="22" xfId="0" applyNumberFormat="1" applyFont="1" applyFill="1" applyBorder="1" applyAlignment="1" applyProtection="1">
      <alignment/>
      <protection/>
    </xf>
    <xf numFmtId="0" fontId="1" fillId="0" borderId="0" xfId="44" applyNumberFormat="1" applyFont="1" applyBorder="1" applyAlignment="1" applyProtection="1">
      <alignment/>
      <protection/>
    </xf>
    <xf numFmtId="0" fontId="1" fillId="0" borderId="0" xfId="44" applyNumberFormat="1" applyFont="1" applyBorder="1" applyAlignment="1" applyProtection="1" quotePrefix="1">
      <alignment/>
      <protection/>
    </xf>
    <xf numFmtId="0" fontId="8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 quotePrefix="1">
      <alignment/>
      <protection/>
    </xf>
    <xf numFmtId="7" fontId="8" fillId="0" borderId="23" xfId="0" applyNumberFormat="1" applyFont="1" applyBorder="1" applyAlignment="1" applyProtection="1">
      <alignment/>
      <protection/>
    </xf>
    <xf numFmtId="7" fontId="8" fillId="0" borderId="24" xfId="0" applyNumberFormat="1" applyFont="1" applyBorder="1" applyAlignment="1" applyProtection="1">
      <alignment/>
      <protection/>
    </xf>
    <xf numFmtId="0" fontId="8" fillId="0" borderId="25" xfId="42" applyNumberFormat="1" applyFont="1" applyBorder="1" applyAlignment="1" applyProtection="1">
      <alignment/>
      <protection/>
    </xf>
    <xf numFmtId="0" fontId="8" fillId="0" borderId="26" xfId="42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43" fontId="0" fillId="0" borderId="28" xfId="0" applyNumberFormat="1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43" fontId="0" fillId="0" borderId="30" xfId="44" applyNumberFormat="1" applyFont="1" applyFill="1" applyBorder="1" applyAlignment="1" applyProtection="1" quotePrefix="1">
      <alignment/>
      <protection/>
    </xf>
    <xf numFmtId="43" fontId="0" fillId="0" borderId="30" xfId="0" applyNumberFormat="1" applyFont="1" applyBorder="1" applyAlignment="1" applyProtection="1">
      <alignment/>
      <protection/>
    </xf>
    <xf numFmtId="43" fontId="0" fillId="0" borderId="30" xfId="44" applyNumberFormat="1" applyFont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5" fontId="0" fillId="33" borderId="32" xfId="0" applyNumberFormat="1" applyFont="1" applyFill="1" applyBorder="1" applyAlignment="1" applyProtection="1">
      <alignment/>
      <protection/>
    </xf>
    <xf numFmtId="7" fontId="8" fillId="0" borderId="33" xfId="0" applyNumberFormat="1" applyFont="1" applyBorder="1" applyAlignment="1" applyProtection="1">
      <alignment/>
      <protection/>
    </xf>
    <xf numFmtId="0" fontId="8" fillId="0" borderId="34" xfId="42" applyNumberFormat="1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center"/>
      <protection/>
    </xf>
    <xf numFmtId="9" fontId="0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 quotePrefix="1">
      <alignment/>
      <protection/>
    </xf>
    <xf numFmtId="0" fontId="0" fillId="34" borderId="15" xfId="0" applyFont="1" applyFill="1" applyBorder="1" applyAlignment="1" applyProtection="1">
      <alignment horizontal="center"/>
      <protection locked="0"/>
    </xf>
    <xf numFmtId="44" fontId="0" fillId="35" borderId="17" xfId="44" applyFont="1" applyFill="1" applyBorder="1" applyAlignment="1" applyProtection="1">
      <alignment/>
      <protection locked="0"/>
    </xf>
    <xf numFmtId="9" fontId="0" fillId="35" borderId="17" xfId="60" applyFont="1" applyFill="1" applyBorder="1" applyAlignment="1" applyProtection="1">
      <alignment/>
      <protection locked="0"/>
    </xf>
    <xf numFmtId="9" fontId="0" fillId="35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9" fontId="0" fillId="0" borderId="14" xfId="0" applyNumberForma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7" fontId="0" fillId="0" borderId="37" xfId="0" applyNumberFormat="1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11" xfId="44" applyNumberFormat="1" applyFont="1" applyFill="1" applyBorder="1" applyAlignment="1" applyProtection="1" quotePrefix="1">
      <alignment/>
      <protection/>
    </xf>
    <xf numFmtId="43" fontId="0" fillId="0" borderId="13" xfId="44" applyNumberFormat="1" applyFont="1" applyFill="1" applyBorder="1" applyAlignment="1" applyProtection="1" quotePrefix="1">
      <alignment/>
      <protection/>
    </xf>
    <xf numFmtId="43" fontId="0" fillId="0" borderId="14" xfId="44" applyNumberFormat="1" applyFont="1" applyFill="1" applyBorder="1" applyAlignment="1" applyProtection="1" quotePrefix="1">
      <alignment/>
      <protection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43" xfId="0" applyNumberFormat="1" applyFont="1" applyBorder="1" applyAlignment="1">
      <alignment/>
    </xf>
    <xf numFmtId="0" fontId="10" fillId="0" borderId="34" xfId="0" applyFont="1" applyBorder="1" applyAlignment="1" quotePrefix="1">
      <alignment/>
    </xf>
    <xf numFmtId="41" fontId="10" fillId="0" borderId="44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 quotePrefix="1">
      <alignment/>
    </xf>
    <xf numFmtId="2" fontId="10" fillId="0" borderId="29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31" xfId="0" applyNumberFormat="1" applyFont="1" applyBorder="1" applyAlignment="1">
      <alignment/>
    </xf>
    <xf numFmtId="0" fontId="10" fillId="0" borderId="32" xfId="0" applyFont="1" applyBorder="1" applyAlignment="1" quotePrefix="1">
      <alignment/>
    </xf>
    <xf numFmtId="0" fontId="10" fillId="0" borderId="39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26" xfId="0" applyFont="1" applyBorder="1" applyAlignment="1" quotePrefix="1">
      <alignment/>
    </xf>
    <xf numFmtId="2" fontId="10" fillId="0" borderId="4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1" fontId="10" fillId="0" borderId="43" xfId="0" applyNumberFormat="1" applyFont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 locked="0"/>
    </xf>
    <xf numFmtId="165" fontId="0" fillId="35" borderId="17" xfId="42" applyNumberFormat="1" applyFont="1" applyFill="1" applyBorder="1" applyAlignment="1" applyProtection="1">
      <alignment/>
      <protection locked="0"/>
    </xf>
    <xf numFmtId="166" fontId="0" fillId="35" borderId="17" xfId="0" applyNumberFormat="1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/>
    </xf>
    <xf numFmtId="43" fontId="0" fillId="0" borderId="10" xfId="44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43" fontId="0" fillId="0" borderId="49" xfId="44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Font="1" applyBorder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0" fontId="60" fillId="0" borderId="0" xfId="0" applyFont="1" applyFill="1" applyBorder="1" applyAlignment="1" applyProtection="1" quotePrefix="1">
      <alignment/>
      <protection hidden="1"/>
    </xf>
    <xf numFmtId="0" fontId="6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 quotePrefix="1">
      <alignment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41" fontId="10" fillId="0" borderId="50" xfId="0" applyNumberFormat="1" applyFont="1" applyBorder="1" applyAlignment="1">
      <alignment horizontal="center"/>
    </xf>
    <xf numFmtId="41" fontId="10" fillId="0" borderId="51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right"/>
    </xf>
    <xf numFmtId="41" fontId="10" fillId="0" borderId="52" xfId="0" applyNumberFormat="1" applyFont="1" applyBorder="1" applyAlignment="1">
      <alignment horizontal="center"/>
    </xf>
    <xf numFmtId="41" fontId="10" fillId="0" borderId="44" xfId="0" applyNumberFormat="1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2" fontId="0" fillId="0" borderId="2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53" xfId="0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2" fontId="10" fillId="0" borderId="54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79" fontId="10" fillId="0" borderId="43" xfId="0" applyNumberFormat="1" applyFont="1" applyBorder="1" applyAlignment="1">
      <alignment horizontal="center"/>
    </xf>
    <xf numFmtId="179" fontId="10" fillId="0" borderId="44" xfId="0" applyNumberFormat="1" applyFont="1" applyBorder="1" applyAlignment="1">
      <alignment horizontal="center"/>
    </xf>
    <xf numFmtId="167" fontId="10" fillId="0" borderId="51" xfId="0" applyNumberFormat="1" applyFont="1" applyBorder="1" applyAlignment="1">
      <alignment horizontal="right"/>
    </xf>
    <xf numFmtId="179" fontId="10" fillId="0" borderId="55" xfId="0" applyNumberFormat="1" applyFont="1" applyBorder="1" applyAlignment="1">
      <alignment horizontal="center"/>
    </xf>
    <xf numFmtId="179" fontId="10" fillId="0" borderId="4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38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44" fontId="8" fillId="0" borderId="56" xfId="44" applyFont="1" applyBorder="1" applyAlignment="1" applyProtection="1">
      <alignment horizontal="center"/>
      <protection/>
    </xf>
    <xf numFmtId="44" fontId="8" fillId="0" borderId="57" xfId="44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n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  <fill>
        <patternFill patternType="solid">
          <bgColor indexed="41"/>
        </patternFill>
      </fill>
    </dxf>
    <dxf>
      <font>
        <b val="0"/>
        <i val="0"/>
        <color auto="1"/>
      </font>
      <fill>
        <patternFill patternType="solid">
          <bgColor indexed="43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Revenue, Less Insurance and Marketing Costs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3475"/>
          <c:w val="0.791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'Input &amp; Analysis'!$A$42</c:f>
              <c:strCache>
                <c:ptCount val="1"/>
                <c:pt idx="0">
                  <c:v>$4.50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Analysis'!$C$42:$L$42</c:f>
              <c:numCache/>
            </c:numRef>
          </c:val>
          <c:smooth val="0"/>
        </c:ser>
        <c:ser>
          <c:idx val="1"/>
          <c:order val="1"/>
          <c:tx>
            <c:strRef>
              <c:f>'Input &amp; Analysis'!$A$43</c:f>
              <c:strCache>
                <c:ptCount val="1"/>
                <c:pt idx="0">
                  <c:v>$4.90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Analysis'!$C$43:$L$43</c:f>
              <c:numCache/>
            </c:numRef>
          </c:val>
          <c:smooth val="0"/>
        </c:ser>
        <c:ser>
          <c:idx val="2"/>
          <c:order val="2"/>
          <c:tx>
            <c:strRef>
              <c:f>'Input &amp; Analysis'!$A$44</c:f>
              <c:strCache>
                <c:ptCount val="1"/>
                <c:pt idx="0">
                  <c:v>$5.30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Analysis'!$C$44:$L$44</c:f>
              <c:numCache/>
            </c:numRef>
          </c:val>
          <c:smooth val="0"/>
        </c:ser>
        <c:ser>
          <c:idx val="3"/>
          <c:order val="3"/>
          <c:tx>
            <c:strRef>
              <c:f>'Input &amp; Analysis'!$A$45</c:f>
              <c:strCache>
                <c:ptCount val="1"/>
                <c:pt idx="0">
                  <c:v>$5.70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Analysis'!$C$45:$L$45</c:f>
              <c:numCache/>
            </c:numRef>
          </c:val>
          <c:smooth val="0"/>
        </c:ser>
        <c:ser>
          <c:idx val="4"/>
          <c:order val="4"/>
          <c:tx>
            <c:strRef>
              <c:f>'Input &amp; Analysis'!$A$46</c:f>
              <c:strCache>
                <c:ptCount val="1"/>
                <c:pt idx="0">
                  <c:v>$6.10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Analysis'!$C$46:$L$46</c:f>
              <c:numCache/>
            </c:numRef>
          </c:val>
          <c:smooth val="0"/>
        </c:ser>
        <c:marker val="1"/>
        <c:axId val="52360762"/>
        <c:axId val="1484811"/>
      </c:lineChart>
      <c:catAx>
        <c:axId val="5236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2525"/>
          <c:w val="0.106"/>
          <c:h val="0.3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0.2235</cdr:y>
    </cdr:from>
    <cdr:to>
      <cdr:x>0.999</cdr:x>
      <cdr:y>0.30925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334125" y="90487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Futures Price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Harvest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12</xdr:col>
      <xdr:colOff>19050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1800225"/>
        <a:ext cx="7191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12</xdr:col>
      <xdr:colOff>9525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0" y="28575"/>
          <a:ext cx="35814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</xdr:row>
      <xdr:rowOff>28575</xdr:rowOff>
    </xdr:from>
    <xdr:to>
      <xdr:col>2</xdr:col>
      <xdr:colOff>295275</xdr:colOff>
      <xdr:row>60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666875" y="953452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10</xdr:col>
      <xdr:colOff>561975</xdr:colOff>
      <xdr:row>59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6629400" y="9525000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showGridLines="0" zoomScalePageLayoutView="0" workbookViewId="0" topLeftCell="A1">
      <selection activeCell="F3" sqref="F3:H3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16.7109375" style="0" customWidth="1"/>
    <col min="11" max="11" width="11.7109375" style="0" customWidth="1"/>
    <col min="12" max="12" width="3.00390625" style="0" customWidth="1"/>
    <col min="13" max="13" width="2.8515625" style="0" customWidth="1"/>
  </cols>
  <sheetData>
    <row r="1" spans="1:26" ht="15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.75" customHeight="1">
      <c r="A2" s="183"/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7.25" customHeight="1">
      <c r="A3" s="183"/>
      <c r="B3" s="190"/>
      <c r="C3" s="179"/>
      <c r="D3" s="179"/>
      <c r="E3" s="179"/>
      <c r="F3" s="238" t="s">
        <v>256</v>
      </c>
      <c r="G3" s="238"/>
      <c r="H3" s="238"/>
      <c r="I3" s="179"/>
      <c r="J3" s="179"/>
      <c r="K3" s="179"/>
      <c r="L3" s="191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2.75" customHeight="1">
      <c r="A4" s="183"/>
      <c r="B4" s="190"/>
      <c r="C4" s="236" t="s">
        <v>121</v>
      </c>
      <c r="D4" s="236"/>
      <c r="E4" s="236"/>
      <c r="F4" s="236"/>
      <c r="G4" s="236"/>
      <c r="H4" s="236"/>
      <c r="I4" s="236"/>
      <c r="J4" s="236"/>
      <c r="K4" s="236"/>
      <c r="L4" s="192"/>
      <c r="M4" s="184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2.75">
      <c r="A5" s="183"/>
      <c r="B5" s="190"/>
      <c r="C5" s="236" t="s">
        <v>120</v>
      </c>
      <c r="D5" s="236"/>
      <c r="E5" s="236"/>
      <c r="F5" s="236"/>
      <c r="G5" s="236"/>
      <c r="H5" s="236"/>
      <c r="I5" s="236"/>
      <c r="J5" s="236"/>
      <c r="K5" s="236"/>
      <c r="L5" s="192"/>
      <c r="M5" s="185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12.75">
      <c r="A6" s="183"/>
      <c r="B6" s="190"/>
      <c r="C6" s="179"/>
      <c r="D6" s="179"/>
      <c r="E6" s="179"/>
      <c r="F6" s="179"/>
      <c r="G6" s="179"/>
      <c r="H6" s="179"/>
      <c r="I6" s="179"/>
      <c r="J6" s="179"/>
      <c r="K6" s="179"/>
      <c r="L6" s="191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2.75">
      <c r="A7" s="183"/>
      <c r="B7" s="190"/>
      <c r="C7" s="179" t="s">
        <v>118</v>
      </c>
      <c r="D7" s="179"/>
      <c r="E7" s="179"/>
      <c r="F7" s="179"/>
      <c r="G7" s="179"/>
      <c r="H7" s="179"/>
      <c r="I7" s="179"/>
      <c r="J7" s="179"/>
      <c r="K7" s="179"/>
      <c r="L7" s="191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2.75">
      <c r="A8" s="183"/>
      <c r="B8" s="190"/>
      <c r="C8" s="179" t="s">
        <v>119</v>
      </c>
      <c r="D8" s="179"/>
      <c r="E8" s="179"/>
      <c r="F8" s="179"/>
      <c r="G8" s="179"/>
      <c r="H8" s="179"/>
      <c r="I8" s="179"/>
      <c r="J8" s="179"/>
      <c r="K8" s="179"/>
      <c r="L8" s="191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12.75">
      <c r="A9" s="183"/>
      <c r="B9" s="190"/>
      <c r="C9" s="179" t="s">
        <v>98</v>
      </c>
      <c r="D9" s="179"/>
      <c r="E9" s="179"/>
      <c r="F9" s="179"/>
      <c r="G9" s="179"/>
      <c r="H9" s="179"/>
      <c r="I9" s="179"/>
      <c r="J9" s="179"/>
      <c r="K9" s="179"/>
      <c r="L9" s="191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2.75">
      <c r="A10" s="183"/>
      <c r="B10" s="190"/>
      <c r="C10" s="179"/>
      <c r="D10" s="179"/>
      <c r="E10" s="179"/>
      <c r="F10" s="179"/>
      <c r="G10" s="179"/>
      <c r="H10" s="179"/>
      <c r="I10" s="179"/>
      <c r="J10" s="179"/>
      <c r="K10" s="179"/>
      <c r="L10" s="191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2.75">
      <c r="A11" s="183"/>
      <c r="B11" s="190"/>
      <c r="C11" s="179" t="s">
        <v>99</v>
      </c>
      <c r="D11" s="179"/>
      <c r="E11" s="179"/>
      <c r="F11" s="179"/>
      <c r="G11" s="179"/>
      <c r="H11" s="179"/>
      <c r="I11" s="179"/>
      <c r="J11" s="179"/>
      <c r="K11" s="179"/>
      <c r="L11" s="191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2.75">
      <c r="A12" s="183"/>
      <c r="B12" s="190"/>
      <c r="C12" s="179" t="s">
        <v>124</v>
      </c>
      <c r="D12" s="179" t="s">
        <v>173</v>
      </c>
      <c r="E12" s="179"/>
      <c r="F12" s="179"/>
      <c r="G12" s="179"/>
      <c r="H12" s="179"/>
      <c r="I12" s="179"/>
      <c r="J12" s="179"/>
      <c r="K12" s="179"/>
      <c r="L12" s="191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2.75">
      <c r="A13" s="183"/>
      <c r="B13" s="190"/>
      <c r="C13" s="179" t="s">
        <v>172</v>
      </c>
      <c r="D13" s="179" t="s">
        <v>174</v>
      </c>
      <c r="E13" s="179"/>
      <c r="F13" s="179"/>
      <c r="G13" s="179"/>
      <c r="H13" s="179"/>
      <c r="I13" s="179"/>
      <c r="J13" s="179"/>
      <c r="K13" s="179"/>
      <c r="L13" s="191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2.75">
      <c r="A14" s="183"/>
      <c r="B14" s="190"/>
      <c r="C14" s="179" t="s">
        <v>125</v>
      </c>
      <c r="D14" s="179" t="s">
        <v>253</v>
      </c>
      <c r="E14" s="179"/>
      <c r="F14" s="179"/>
      <c r="G14" s="179"/>
      <c r="H14" s="179"/>
      <c r="I14" s="179"/>
      <c r="J14" s="179"/>
      <c r="K14" s="179"/>
      <c r="L14" s="191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2.75">
      <c r="A15" s="183"/>
      <c r="B15" s="190"/>
      <c r="C15" s="179" t="s">
        <v>126</v>
      </c>
      <c r="D15" s="179" t="s">
        <v>254</v>
      </c>
      <c r="E15" s="179"/>
      <c r="F15" s="179"/>
      <c r="G15" s="179"/>
      <c r="H15" s="179"/>
      <c r="I15" s="179"/>
      <c r="J15" s="179"/>
      <c r="K15" s="179"/>
      <c r="L15" s="191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2.75">
      <c r="A16" s="183"/>
      <c r="B16" s="190"/>
      <c r="C16" s="179"/>
      <c r="D16" s="179"/>
      <c r="E16" s="179"/>
      <c r="F16" s="179"/>
      <c r="G16" s="179"/>
      <c r="H16" s="179"/>
      <c r="I16" s="179"/>
      <c r="J16" s="179"/>
      <c r="K16" s="179"/>
      <c r="L16" s="191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12.75">
      <c r="A17" s="183"/>
      <c r="B17" s="190"/>
      <c r="C17" s="237" t="s">
        <v>100</v>
      </c>
      <c r="D17" s="237"/>
      <c r="E17" s="237"/>
      <c r="F17" s="237"/>
      <c r="G17" s="237"/>
      <c r="H17" s="237"/>
      <c r="I17" s="237"/>
      <c r="J17" s="237"/>
      <c r="K17" s="237"/>
      <c r="L17" s="193"/>
      <c r="M17" s="186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2.75">
      <c r="A18" s="183"/>
      <c r="B18" s="190"/>
      <c r="C18" s="179" t="s">
        <v>209</v>
      </c>
      <c r="D18" s="179"/>
      <c r="E18" s="179"/>
      <c r="F18" s="179"/>
      <c r="G18" s="179"/>
      <c r="H18" s="179"/>
      <c r="I18" s="179"/>
      <c r="J18" s="179"/>
      <c r="K18" s="179"/>
      <c r="L18" s="191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2.75">
      <c r="A19" s="183"/>
      <c r="B19" s="190"/>
      <c r="C19" s="179"/>
      <c r="D19" s="179"/>
      <c r="E19" s="179"/>
      <c r="F19" s="179"/>
      <c r="G19" s="179"/>
      <c r="H19" s="179"/>
      <c r="I19" s="179"/>
      <c r="J19" s="179"/>
      <c r="K19" s="179"/>
      <c r="L19" s="191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2.75">
      <c r="A20" s="183"/>
      <c r="B20" s="190"/>
      <c r="C20" s="179" t="s">
        <v>133</v>
      </c>
      <c r="D20" s="180" t="s">
        <v>127</v>
      </c>
      <c r="E20" s="179"/>
      <c r="F20" s="179"/>
      <c r="G20" s="179"/>
      <c r="H20" s="179"/>
      <c r="I20" s="179"/>
      <c r="J20" s="179"/>
      <c r="K20" s="179"/>
      <c r="L20" s="191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2.75">
      <c r="A21" s="183"/>
      <c r="B21" s="190"/>
      <c r="C21" s="179" t="s">
        <v>132</v>
      </c>
      <c r="D21" s="180" t="s">
        <v>235</v>
      </c>
      <c r="E21" s="179"/>
      <c r="F21" s="179"/>
      <c r="G21" s="179"/>
      <c r="H21" s="179"/>
      <c r="I21" s="179"/>
      <c r="J21" s="179"/>
      <c r="K21" s="179"/>
      <c r="L21" s="191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2.75">
      <c r="A22" s="183"/>
      <c r="B22" s="190"/>
      <c r="C22" s="179" t="s">
        <v>131</v>
      </c>
      <c r="D22" s="179" t="s">
        <v>236</v>
      </c>
      <c r="E22" s="179"/>
      <c r="F22" s="179"/>
      <c r="G22" s="179"/>
      <c r="H22" s="179"/>
      <c r="I22" s="179"/>
      <c r="J22" s="179"/>
      <c r="K22" s="179"/>
      <c r="L22" s="191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2.75">
      <c r="A23" s="183"/>
      <c r="B23" s="190"/>
      <c r="C23" s="179" t="s">
        <v>101</v>
      </c>
      <c r="D23" s="180" t="s">
        <v>128</v>
      </c>
      <c r="E23" s="179"/>
      <c r="F23" s="179"/>
      <c r="G23" s="179"/>
      <c r="H23" s="179"/>
      <c r="I23" s="179"/>
      <c r="J23" s="179"/>
      <c r="K23" s="179"/>
      <c r="L23" s="191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2.75">
      <c r="A24" s="183"/>
      <c r="B24" s="190"/>
      <c r="C24" s="179" t="s">
        <v>130</v>
      </c>
      <c r="D24" s="179" t="s">
        <v>129</v>
      </c>
      <c r="E24" s="179"/>
      <c r="F24" s="179"/>
      <c r="G24" s="179"/>
      <c r="H24" s="179"/>
      <c r="I24" s="179"/>
      <c r="J24" s="179"/>
      <c r="K24" s="179"/>
      <c r="L24" s="19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2.75">
      <c r="A25" s="183"/>
      <c r="B25" s="190"/>
      <c r="C25" s="179" t="s">
        <v>19</v>
      </c>
      <c r="D25" s="180" t="s">
        <v>160</v>
      </c>
      <c r="E25" s="179"/>
      <c r="F25" s="179"/>
      <c r="G25" s="179"/>
      <c r="H25" s="179"/>
      <c r="I25" s="179"/>
      <c r="J25" s="179"/>
      <c r="K25" s="179"/>
      <c r="L25" s="19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2.75">
      <c r="A26" s="183"/>
      <c r="B26" s="190"/>
      <c r="C26" s="179"/>
      <c r="D26" s="179" t="s">
        <v>161</v>
      </c>
      <c r="E26" s="179"/>
      <c r="F26" s="179"/>
      <c r="G26" s="179"/>
      <c r="H26" s="179"/>
      <c r="I26" s="179"/>
      <c r="J26" s="179"/>
      <c r="K26" s="179"/>
      <c r="L26" s="191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2.75">
      <c r="A27" s="183"/>
      <c r="B27" s="190"/>
      <c r="C27" s="179"/>
      <c r="D27" s="179" t="s">
        <v>208</v>
      </c>
      <c r="E27" s="179"/>
      <c r="F27" s="179"/>
      <c r="G27" s="179"/>
      <c r="H27" s="179"/>
      <c r="I27" s="179"/>
      <c r="J27" s="179"/>
      <c r="K27" s="179"/>
      <c r="L27" s="191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12.75">
      <c r="A28" s="183"/>
      <c r="B28" s="190"/>
      <c r="C28" s="179"/>
      <c r="D28" s="180" t="s">
        <v>246</v>
      </c>
      <c r="E28" s="179"/>
      <c r="F28" s="179"/>
      <c r="G28" s="179"/>
      <c r="H28" s="179"/>
      <c r="I28" s="179"/>
      <c r="J28" s="179"/>
      <c r="K28" s="179"/>
      <c r="L28" s="191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2.75">
      <c r="A29" s="183"/>
      <c r="B29" s="190"/>
      <c r="C29" s="181" t="s">
        <v>102</v>
      </c>
      <c r="D29" s="179"/>
      <c r="E29" s="179"/>
      <c r="F29" s="179"/>
      <c r="G29" s="179"/>
      <c r="H29" s="179"/>
      <c r="I29" s="179"/>
      <c r="J29" s="179"/>
      <c r="K29" s="179"/>
      <c r="L29" s="191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2.75">
      <c r="A30" s="183"/>
      <c r="B30" s="190"/>
      <c r="C30" s="179" t="s">
        <v>192</v>
      </c>
      <c r="D30" s="180" t="s">
        <v>193</v>
      </c>
      <c r="E30" s="179"/>
      <c r="F30" s="179"/>
      <c r="G30" s="179"/>
      <c r="H30" s="179"/>
      <c r="I30" s="179"/>
      <c r="J30" s="179"/>
      <c r="K30" s="179"/>
      <c r="L30" s="191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2.75">
      <c r="A31" s="183"/>
      <c r="B31" s="190"/>
      <c r="C31" s="179"/>
      <c r="D31" s="180" t="s">
        <v>194</v>
      </c>
      <c r="E31" s="179"/>
      <c r="F31" s="179"/>
      <c r="G31" s="179"/>
      <c r="H31" s="179"/>
      <c r="I31" s="179"/>
      <c r="J31" s="179"/>
      <c r="K31" s="179"/>
      <c r="L31" s="191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12.75">
      <c r="A32" s="183"/>
      <c r="B32" s="190"/>
      <c r="C32" s="179"/>
      <c r="D32" s="179" t="s">
        <v>196</v>
      </c>
      <c r="E32" s="179"/>
      <c r="F32" s="179"/>
      <c r="G32" s="179"/>
      <c r="H32" s="179"/>
      <c r="I32" s="179"/>
      <c r="J32" s="179"/>
      <c r="K32" s="179"/>
      <c r="L32" s="191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12.75">
      <c r="A33" s="183"/>
      <c r="B33" s="190"/>
      <c r="C33" s="179"/>
      <c r="D33" s="179" t="s">
        <v>195</v>
      </c>
      <c r="E33" s="179"/>
      <c r="F33" s="179"/>
      <c r="G33" s="179"/>
      <c r="H33" s="179"/>
      <c r="I33" s="179"/>
      <c r="J33" s="179"/>
      <c r="K33" s="179"/>
      <c r="L33" s="191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2.75">
      <c r="A34" s="183"/>
      <c r="B34" s="190"/>
      <c r="C34" s="179" t="s">
        <v>199</v>
      </c>
      <c r="D34" s="180" t="s">
        <v>223</v>
      </c>
      <c r="E34" s="179"/>
      <c r="F34" s="179"/>
      <c r="G34" s="179"/>
      <c r="H34" s="179"/>
      <c r="I34" s="179"/>
      <c r="J34" s="179"/>
      <c r="K34" s="179"/>
      <c r="L34" s="191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12.75">
      <c r="A35" s="183"/>
      <c r="B35" s="190"/>
      <c r="C35" s="179"/>
      <c r="D35" s="180" t="s">
        <v>224</v>
      </c>
      <c r="E35" s="179"/>
      <c r="F35" s="179"/>
      <c r="G35" s="179"/>
      <c r="H35" s="179"/>
      <c r="I35" s="179"/>
      <c r="J35" s="179"/>
      <c r="K35" s="179"/>
      <c r="L35" s="191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12.75">
      <c r="A36" s="183"/>
      <c r="B36" s="190"/>
      <c r="C36" s="179" t="s">
        <v>134</v>
      </c>
      <c r="D36" s="180" t="s">
        <v>197</v>
      </c>
      <c r="E36" s="179"/>
      <c r="F36" s="179"/>
      <c r="G36" s="179"/>
      <c r="H36" s="179"/>
      <c r="I36" s="179"/>
      <c r="J36" s="179"/>
      <c r="K36" s="179"/>
      <c r="L36" s="191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12.75">
      <c r="A37" s="183"/>
      <c r="B37" s="190"/>
      <c r="C37" s="179" t="s">
        <v>198</v>
      </c>
      <c r="D37" s="180" t="s">
        <v>225</v>
      </c>
      <c r="E37" s="179"/>
      <c r="F37" s="179"/>
      <c r="G37" s="179"/>
      <c r="H37" s="179"/>
      <c r="I37" s="179"/>
      <c r="J37" s="179"/>
      <c r="K37" s="179"/>
      <c r="L37" s="191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12.75">
      <c r="A38" s="183"/>
      <c r="B38" s="190"/>
      <c r="C38" s="179"/>
      <c r="D38" s="179"/>
      <c r="E38" s="179"/>
      <c r="F38" s="179"/>
      <c r="G38" s="179"/>
      <c r="H38" s="179"/>
      <c r="I38" s="179"/>
      <c r="J38" s="179"/>
      <c r="K38" s="179"/>
      <c r="L38" s="191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12.75">
      <c r="A39" s="183"/>
      <c r="B39" s="190"/>
      <c r="C39" s="181" t="s">
        <v>103</v>
      </c>
      <c r="D39" s="179"/>
      <c r="E39" s="179"/>
      <c r="F39" s="179"/>
      <c r="G39" s="179"/>
      <c r="H39" s="179"/>
      <c r="I39" s="179"/>
      <c r="J39" s="179"/>
      <c r="K39" s="179"/>
      <c r="L39" s="191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12.75">
      <c r="A40" s="183"/>
      <c r="B40" s="190"/>
      <c r="C40" s="179" t="s">
        <v>104</v>
      </c>
      <c r="D40" s="179"/>
      <c r="E40" s="179"/>
      <c r="F40" s="179"/>
      <c r="G40" s="179"/>
      <c r="H40" s="179"/>
      <c r="I40" s="179"/>
      <c r="J40" s="179"/>
      <c r="K40" s="179"/>
      <c r="L40" s="191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ht="12.75">
      <c r="A41" s="183"/>
      <c r="B41" s="190"/>
      <c r="C41" s="179" t="s">
        <v>105</v>
      </c>
      <c r="D41" s="179"/>
      <c r="E41" s="179"/>
      <c r="F41" s="179"/>
      <c r="G41" s="179"/>
      <c r="H41" s="179"/>
      <c r="I41" s="179"/>
      <c r="J41" s="179"/>
      <c r="K41" s="179"/>
      <c r="L41" s="191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2.75">
      <c r="A42" s="183"/>
      <c r="B42" s="190"/>
      <c r="C42" s="179" t="s">
        <v>106</v>
      </c>
      <c r="D42" s="179"/>
      <c r="E42" s="179"/>
      <c r="F42" s="179"/>
      <c r="G42" s="179"/>
      <c r="H42" s="179"/>
      <c r="I42" s="179"/>
      <c r="J42" s="179"/>
      <c r="K42" s="179"/>
      <c r="L42" s="191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2.75">
      <c r="A43" s="183"/>
      <c r="B43" s="190"/>
      <c r="C43" s="179"/>
      <c r="D43" s="180"/>
      <c r="E43" s="179"/>
      <c r="F43" s="179"/>
      <c r="G43" s="179"/>
      <c r="H43" s="179"/>
      <c r="I43" s="179"/>
      <c r="J43" s="179"/>
      <c r="K43" s="179"/>
      <c r="L43" s="191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2.75">
      <c r="A44" s="183"/>
      <c r="B44" s="190"/>
      <c r="C44" s="179" t="s">
        <v>3</v>
      </c>
      <c r="D44" s="180" t="s">
        <v>221</v>
      </c>
      <c r="E44" s="179"/>
      <c r="F44" s="179"/>
      <c r="G44" s="179"/>
      <c r="H44" s="179"/>
      <c r="I44" s="179"/>
      <c r="J44" s="179"/>
      <c r="K44" s="179"/>
      <c r="L44" s="191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12.75">
      <c r="A45" s="183"/>
      <c r="B45" s="190"/>
      <c r="C45" s="179" t="s">
        <v>21</v>
      </c>
      <c r="D45" s="180" t="s">
        <v>222</v>
      </c>
      <c r="E45" s="179"/>
      <c r="F45" s="179"/>
      <c r="G45" s="179"/>
      <c r="H45" s="179"/>
      <c r="I45" s="179"/>
      <c r="J45" s="179"/>
      <c r="K45" s="179"/>
      <c r="L45" s="191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12.75">
      <c r="A46" s="183"/>
      <c r="B46" s="190"/>
      <c r="C46" s="179" t="s">
        <v>1</v>
      </c>
      <c r="D46" s="180" t="s">
        <v>227</v>
      </c>
      <c r="E46" s="179"/>
      <c r="F46" s="179"/>
      <c r="G46" s="179"/>
      <c r="H46" s="179"/>
      <c r="I46" s="179"/>
      <c r="J46" s="179"/>
      <c r="K46" s="179"/>
      <c r="L46" s="191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2.75">
      <c r="A47" s="183"/>
      <c r="B47" s="190"/>
      <c r="C47" s="179"/>
      <c r="D47" s="180" t="s">
        <v>228</v>
      </c>
      <c r="E47" s="179"/>
      <c r="F47" s="179"/>
      <c r="G47" s="179"/>
      <c r="H47" s="179"/>
      <c r="I47" s="179"/>
      <c r="J47" s="179"/>
      <c r="K47" s="179"/>
      <c r="L47" s="191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2.75">
      <c r="A48" s="183"/>
      <c r="B48" s="190"/>
      <c r="C48" s="179"/>
      <c r="D48" s="179" t="s">
        <v>226</v>
      </c>
      <c r="E48" s="179"/>
      <c r="F48" s="179"/>
      <c r="G48" s="179"/>
      <c r="H48" s="179"/>
      <c r="I48" s="179"/>
      <c r="J48" s="179"/>
      <c r="K48" s="179"/>
      <c r="L48" s="191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6" ht="12.75">
      <c r="A49" s="183"/>
      <c r="B49" s="190"/>
      <c r="C49" s="179"/>
      <c r="D49" s="180" t="s">
        <v>229</v>
      </c>
      <c r="E49" s="179"/>
      <c r="F49" s="179"/>
      <c r="G49" s="179"/>
      <c r="H49" s="179"/>
      <c r="I49" s="179"/>
      <c r="J49" s="179"/>
      <c r="K49" s="179"/>
      <c r="L49" s="191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2.75">
      <c r="A50" s="183"/>
      <c r="B50" s="190"/>
      <c r="C50" s="179" t="s">
        <v>4</v>
      </c>
      <c r="D50" s="180" t="s">
        <v>230</v>
      </c>
      <c r="E50" s="179"/>
      <c r="F50" s="179"/>
      <c r="G50" s="179"/>
      <c r="H50" s="179"/>
      <c r="I50" s="179"/>
      <c r="J50" s="179"/>
      <c r="K50" s="179"/>
      <c r="L50" s="191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ht="12.75">
      <c r="A51" s="183"/>
      <c r="B51" s="190"/>
      <c r="C51" s="179"/>
      <c r="D51" s="179"/>
      <c r="E51" s="179"/>
      <c r="F51" s="179"/>
      <c r="G51" s="179"/>
      <c r="H51" s="179"/>
      <c r="I51" s="179"/>
      <c r="J51" s="179"/>
      <c r="K51" s="179"/>
      <c r="L51" s="191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12.75">
      <c r="A52" s="183"/>
      <c r="B52" s="190"/>
      <c r="C52" s="181" t="s">
        <v>107</v>
      </c>
      <c r="D52" s="181"/>
      <c r="E52" s="179"/>
      <c r="F52" s="179"/>
      <c r="G52" s="179"/>
      <c r="H52" s="179"/>
      <c r="I52" s="179"/>
      <c r="J52" s="179"/>
      <c r="K52" s="179"/>
      <c r="L52" s="191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2.75">
      <c r="A53" s="183"/>
      <c r="B53" s="190"/>
      <c r="C53" s="179" t="s">
        <v>137</v>
      </c>
      <c r="D53" s="180" t="s">
        <v>157</v>
      </c>
      <c r="E53" s="179"/>
      <c r="F53" s="179"/>
      <c r="G53" s="179"/>
      <c r="H53" s="179"/>
      <c r="I53" s="179"/>
      <c r="J53" s="179"/>
      <c r="K53" s="179"/>
      <c r="L53" s="191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12.75">
      <c r="A54" s="183"/>
      <c r="B54" s="190"/>
      <c r="C54" s="179"/>
      <c r="D54" s="179" t="s">
        <v>135</v>
      </c>
      <c r="E54" s="179"/>
      <c r="F54" s="179"/>
      <c r="G54" s="179"/>
      <c r="H54" s="179"/>
      <c r="I54" s="179"/>
      <c r="J54" s="179"/>
      <c r="K54" s="179"/>
      <c r="L54" s="191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12.75">
      <c r="A55" s="183"/>
      <c r="B55" s="190"/>
      <c r="C55" s="179" t="s">
        <v>138</v>
      </c>
      <c r="D55" s="180" t="s">
        <v>231</v>
      </c>
      <c r="E55" s="179"/>
      <c r="F55" s="179"/>
      <c r="G55" s="179"/>
      <c r="H55" s="179"/>
      <c r="I55" s="179"/>
      <c r="J55" s="179"/>
      <c r="K55" s="179"/>
      <c r="L55" s="191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12.75">
      <c r="A56" s="183"/>
      <c r="B56" s="190"/>
      <c r="C56" s="179"/>
      <c r="D56" s="179" t="s">
        <v>136</v>
      </c>
      <c r="E56" s="179"/>
      <c r="F56" s="179"/>
      <c r="G56" s="179"/>
      <c r="H56" s="179"/>
      <c r="I56" s="179"/>
      <c r="J56" s="179"/>
      <c r="K56" s="179"/>
      <c r="L56" s="191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2.75">
      <c r="A57" s="183"/>
      <c r="B57" s="190"/>
      <c r="C57" s="179"/>
      <c r="D57" s="180" t="s">
        <v>241</v>
      </c>
      <c r="E57" s="179"/>
      <c r="F57" s="179"/>
      <c r="G57" s="179"/>
      <c r="H57" s="179"/>
      <c r="I57" s="179"/>
      <c r="J57" s="179"/>
      <c r="K57" s="179"/>
      <c r="L57" s="191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12.75">
      <c r="A58" s="183"/>
      <c r="B58" s="190"/>
      <c r="C58" s="182" t="s">
        <v>122</v>
      </c>
      <c r="D58" s="179"/>
      <c r="E58" s="179"/>
      <c r="F58" s="179"/>
      <c r="G58" s="179"/>
      <c r="H58" s="179"/>
      <c r="I58" s="179"/>
      <c r="J58" s="179"/>
      <c r="K58" s="179"/>
      <c r="L58" s="191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12.75">
      <c r="A59" s="183"/>
      <c r="B59" s="190"/>
      <c r="C59" s="179" t="s">
        <v>108</v>
      </c>
      <c r="D59" s="179"/>
      <c r="E59" s="179"/>
      <c r="F59" s="179"/>
      <c r="G59" s="179"/>
      <c r="H59" s="179"/>
      <c r="I59" s="179"/>
      <c r="J59" s="179"/>
      <c r="K59" s="179"/>
      <c r="L59" s="191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12.75">
      <c r="A60" s="183"/>
      <c r="B60" s="190"/>
      <c r="C60" s="179" t="s">
        <v>232</v>
      </c>
      <c r="D60" s="179"/>
      <c r="E60" s="179"/>
      <c r="F60" s="179"/>
      <c r="G60" s="179"/>
      <c r="H60" s="179"/>
      <c r="I60" s="179"/>
      <c r="J60" s="179"/>
      <c r="K60" s="179"/>
      <c r="L60" s="191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12.75">
      <c r="A61" s="183"/>
      <c r="B61" s="190"/>
      <c r="C61" s="179" t="s">
        <v>233</v>
      </c>
      <c r="D61" s="179"/>
      <c r="E61" s="179"/>
      <c r="F61" s="179"/>
      <c r="G61" s="179"/>
      <c r="H61" s="179"/>
      <c r="I61" s="179"/>
      <c r="J61" s="179"/>
      <c r="K61" s="179"/>
      <c r="L61" s="191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12.75">
      <c r="A62" s="183"/>
      <c r="B62" s="190"/>
      <c r="C62" s="179" t="s">
        <v>234</v>
      </c>
      <c r="D62" s="179"/>
      <c r="E62" s="179"/>
      <c r="F62" s="179"/>
      <c r="G62" s="179"/>
      <c r="H62" s="179"/>
      <c r="I62" s="179"/>
      <c r="J62" s="179"/>
      <c r="K62" s="179"/>
      <c r="L62" s="191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12.75">
      <c r="A63" s="183"/>
      <c r="B63" s="190"/>
      <c r="C63" s="179"/>
      <c r="D63" s="180"/>
      <c r="E63" s="179"/>
      <c r="F63" s="179"/>
      <c r="G63" s="179"/>
      <c r="H63" s="179"/>
      <c r="I63" s="179"/>
      <c r="J63" s="179"/>
      <c r="K63" s="179"/>
      <c r="L63" s="191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12.75">
      <c r="A64" s="183"/>
      <c r="B64" s="190"/>
      <c r="C64" s="179" t="s">
        <v>243</v>
      </c>
      <c r="D64" s="180" t="s">
        <v>201</v>
      </c>
      <c r="E64" s="179"/>
      <c r="F64" s="179"/>
      <c r="G64" s="179"/>
      <c r="H64" s="179"/>
      <c r="I64" s="179"/>
      <c r="J64" s="179"/>
      <c r="K64" s="179"/>
      <c r="L64" s="191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2.75">
      <c r="A65" s="183"/>
      <c r="B65" s="190"/>
      <c r="C65" s="179" t="s">
        <v>200</v>
      </c>
      <c r="D65" s="180" t="s">
        <v>202</v>
      </c>
      <c r="E65" s="179"/>
      <c r="F65" s="179"/>
      <c r="G65" s="179"/>
      <c r="H65" s="179"/>
      <c r="I65" s="179"/>
      <c r="J65" s="179"/>
      <c r="K65" s="179"/>
      <c r="L65" s="191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12.75">
      <c r="A66" s="183"/>
      <c r="B66" s="190"/>
      <c r="C66" s="14" t="s">
        <v>220</v>
      </c>
      <c r="D66" s="180" t="s">
        <v>244</v>
      </c>
      <c r="E66" s="179"/>
      <c r="F66" s="179"/>
      <c r="G66" s="179"/>
      <c r="H66" s="179"/>
      <c r="I66" s="179"/>
      <c r="J66" s="179"/>
      <c r="K66" s="179"/>
      <c r="L66" s="191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12.75">
      <c r="A67" s="183"/>
      <c r="B67" s="190"/>
      <c r="C67" s="14"/>
      <c r="D67" s="179" t="s">
        <v>239</v>
      </c>
      <c r="E67" s="179"/>
      <c r="F67" s="179"/>
      <c r="G67" s="179"/>
      <c r="H67" s="179"/>
      <c r="I67" s="179"/>
      <c r="J67" s="179"/>
      <c r="K67" s="179"/>
      <c r="L67" s="191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2.75">
      <c r="A68" s="183"/>
      <c r="B68" s="190"/>
      <c r="C68" s="179"/>
      <c r="D68" s="180" t="s">
        <v>240</v>
      </c>
      <c r="E68" s="179"/>
      <c r="F68" s="179"/>
      <c r="G68" s="179"/>
      <c r="H68" s="179"/>
      <c r="I68" s="179"/>
      <c r="J68" s="179"/>
      <c r="K68" s="179"/>
      <c r="L68" s="191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12.75">
      <c r="A69" s="183"/>
      <c r="B69" s="190"/>
      <c r="C69" s="179"/>
      <c r="D69" s="180" t="s">
        <v>242</v>
      </c>
      <c r="E69" s="179"/>
      <c r="F69" s="179"/>
      <c r="G69" s="179"/>
      <c r="H69" s="179"/>
      <c r="I69" s="179"/>
      <c r="J69" s="179"/>
      <c r="K69" s="179"/>
      <c r="L69" s="191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12.75">
      <c r="A70" s="183"/>
      <c r="B70" s="190"/>
      <c r="C70" s="179" t="s">
        <v>139</v>
      </c>
      <c r="D70" s="180" t="s">
        <v>204</v>
      </c>
      <c r="E70" s="179"/>
      <c r="F70" s="179"/>
      <c r="G70" s="179"/>
      <c r="H70" s="179"/>
      <c r="I70" s="179"/>
      <c r="J70" s="179"/>
      <c r="K70" s="179"/>
      <c r="L70" s="191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12.75">
      <c r="A71" s="183"/>
      <c r="B71" s="190"/>
      <c r="C71" s="179"/>
      <c r="D71" s="179" t="s">
        <v>203</v>
      </c>
      <c r="E71" s="179"/>
      <c r="F71" s="179"/>
      <c r="G71" s="179"/>
      <c r="H71" s="179"/>
      <c r="I71" s="179"/>
      <c r="J71" s="179"/>
      <c r="K71" s="179"/>
      <c r="L71" s="191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2.75">
      <c r="A72" s="183"/>
      <c r="B72" s="190"/>
      <c r="C72" s="179" t="s">
        <v>140</v>
      </c>
      <c r="D72" s="180" t="s">
        <v>205</v>
      </c>
      <c r="E72" s="179"/>
      <c r="F72" s="179"/>
      <c r="G72" s="179"/>
      <c r="H72" s="179"/>
      <c r="I72" s="179"/>
      <c r="J72" s="179"/>
      <c r="K72" s="179"/>
      <c r="L72" s="191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2.75">
      <c r="A73" s="183"/>
      <c r="B73" s="190"/>
      <c r="C73" s="179"/>
      <c r="D73" s="180" t="s">
        <v>203</v>
      </c>
      <c r="E73" s="179"/>
      <c r="F73" s="179"/>
      <c r="G73" s="179"/>
      <c r="H73" s="179"/>
      <c r="I73" s="179"/>
      <c r="J73" s="179"/>
      <c r="K73" s="179"/>
      <c r="L73" s="191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2.75">
      <c r="A74" s="183"/>
      <c r="B74" s="190"/>
      <c r="C74" s="179" t="s">
        <v>2</v>
      </c>
      <c r="D74" s="180" t="s">
        <v>206</v>
      </c>
      <c r="E74" s="179"/>
      <c r="F74" s="179"/>
      <c r="G74" s="179"/>
      <c r="H74" s="179"/>
      <c r="I74" s="179"/>
      <c r="J74" s="179"/>
      <c r="K74" s="179"/>
      <c r="L74" s="191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2.75">
      <c r="A75" s="183"/>
      <c r="B75" s="190"/>
      <c r="C75" s="179"/>
      <c r="D75" s="180" t="s">
        <v>207</v>
      </c>
      <c r="E75" s="179"/>
      <c r="F75" s="179"/>
      <c r="G75" s="179"/>
      <c r="H75" s="179"/>
      <c r="I75" s="179"/>
      <c r="J75" s="179"/>
      <c r="K75" s="179"/>
      <c r="L75" s="191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2.75">
      <c r="A76" s="183"/>
      <c r="B76" s="190"/>
      <c r="C76" s="179" t="s">
        <v>109</v>
      </c>
      <c r="D76" s="179"/>
      <c r="E76" s="179"/>
      <c r="F76" s="179"/>
      <c r="G76" s="179"/>
      <c r="H76" s="179"/>
      <c r="I76" s="179"/>
      <c r="J76" s="179"/>
      <c r="K76" s="179"/>
      <c r="L76" s="191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2.75">
      <c r="A77" s="183"/>
      <c r="B77" s="190"/>
      <c r="C77" s="237" t="s">
        <v>110</v>
      </c>
      <c r="D77" s="237"/>
      <c r="E77" s="237"/>
      <c r="F77" s="237"/>
      <c r="G77" s="237"/>
      <c r="H77" s="237"/>
      <c r="I77" s="237"/>
      <c r="J77" s="237"/>
      <c r="K77" s="237"/>
      <c r="L77" s="19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2.75">
      <c r="A78" s="183"/>
      <c r="B78" s="190"/>
      <c r="C78" s="179" t="s">
        <v>111</v>
      </c>
      <c r="D78" s="179"/>
      <c r="E78" s="179"/>
      <c r="F78" s="179"/>
      <c r="G78" s="179"/>
      <c r="H78" s="179"/>
      <c r="I78" s="179"/>
      <c r="J78" s="179"/>
      <c r="K78" s="179"/>
      <c r="L78" s="191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2.75">
      <c r="A79" s="183"/>
      <c r="B79" s="190"/>
      <c r="C79" s="179" t="s">
        <v>112</v>
      </c>
      <c r="D79" s="179"/>
      <c r="E79" s="179"/>
      <c r="F79" s="179"/>
      <c r="G79" s="179"/>
      <c r="H79" s="179"/>
      <c r="I79" s="179"/>
      <c r="J79" s="179"/>
      <c r="K79" s="179"/>
      <c r="L79" s="191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2.75">
      <c r="A80" s="183"/>
      <c r="B80" s="190"/>
      <c r="C80" s="179" t="s">
        <v>113</v>
      </c>
      <c r="D80" s="179"/>
      <c r="E80" s="179"/>
      <c r="F80" s="179"/>
      <c r="G80" s="179"/>
      <c r="H80" s="179"/>
      <c r="I80" s="179"/>
      <c r="J80" s="179"/>
      <c r="K80" s="179"/>
      <c r="L80" s="191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2.75">
      <c r="A81" s="183"/>
      <c r="B81" s="190"/>
      <c r="C81" s="179"/>
      <c r="D81" s="179"/>
      <c r="E81" s="179"/>
      <c r="F81" s="179"/>
      <c r="G81" s="179"/>
      <c r="H81" s="179"/>
      <c r="I81" s="179"/>
      <c r="J81" s="179"/>
      <c r="K81" s="179"/>
      <c r="L81" s="191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2.75">
      <c r="A82" s="183"/>
      <c r="B82" s="190"/>
      <c r="C82" s="179" t="s">
        <v>114</v>
      </c>
      <c r="D82" s="179"/>
      <c r="E82" s="179"/>
      <c r="F82" s="179"/>
      <c r="G82" s="179"/>
      <c r="H82" s="179"/>
      <c r="I82" s="179"/>
      <c r="J82" s="179"/>
      <c r="K82" s="179"/>
      <c r="L82" s="19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2.75">
      <c r="A83" s="183"/>
      <c r="B83" s="190"/>
      <c r="C83" s="179" t="s">
        <v>115</v>
      </c>
      <c r="D83" s="179"/>
      <c r="E83" s="179"/>
      <c r="F83" s="179"/>
      <c r="G83" s="179"/>
      <c r="H83" s="179"/>
      <c r="I83" s="179"/>
      <c r="J83" s="179"/>
      <c r="K83" s="179"/>
      <c r="L83" s="19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2.75">
      <c r="A84" s="183"/>
      <c r="B84" s="190"/>
      <c r="C84" s="179"/>
      <c r="D84" s="179"/>
      <c r="E84" s="179"/>
      <c r="F84" s="179"/>
      <c r="G84" s="179"/>
      <c r="H84" s="179"/>
      <c r="I84" s="179"/>
      <c r="J84" s="179"/>
      <c r="K84" s="179"/>
      <c r="L84" s="19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2.75">
      <c r="A85" s="183"/>
      <c r="B85" s="190"/>
      <c r="C85" s="179" t="s">
        <v>167</v>
      </c>
      <c r="D85" s="179"/>
      <c r="E85" s="179"/>
      <c r="F85" s="179"/>
      <c r="G85" s="179"/>
      <c r="H85" s="179"/>
      <c r="I85" s="179"/>
      <c r="J85" s="179"/>
      <c r="K85" s="179"/>
      <c r="L85" s="19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2.75">
      <c r="A86" s="183"/>
      <c r="B86" s="190"/>
      <c r="C86" s="179" t="s">
        <v>168</v>
      </c>
      <c r="D86" s="179"/>
      <c r="E86" s="179"/>
      <c r="F86" s="179"/>
      <c r="G86" s="179"/>
      <c r="H86" s="179"/>
      <c r="I86" s="179"/>
      <c r="J86" s="179"/>
      <c r="K86" s="179"/>
      <c r="L86" s="19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2.75">
      <c r="A87" s="183"/>
      <c r="B87" s="190"/>
      <c r="C87" s="179" t="s">
        <v>116</v>
      </c>
      <c r="D87" s="179"/>
      <c r="E87" s="179"/>
      <c r="F87" s="179"/>
      <c r="G87" s="179"/>
      <c r="H87" s="179"/>
      <c r="I87" s="179"/>
      <c r="J87" s="179"/>
      <c r="K87" s="179"/>
      <c r="L87" s="19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2.75">
      <c r="A88" s="183"/>
      <c r="B88" s="190"/>
      <c r="C88" s="179" t="s">
        <v>117</v>
      </c>
      <c r="D88" s="179"/>
      <c r="E88" s="179"/>
      <c r="F88" s="179"/>
      <c r="G88" s="179"/>
      <c r="H88" s="179"/>
      <c r="I88" s="179"/>
      <c r="J88" s="179"/>
      <c r="K88" s="179"/>
      <c r="L88" s="19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2.75">
      <c r="A89" s="183"/>
      <c r="B89" s="190"/>
      <c r="C89" s="179" t="s">
        <v>158</v>
      </c>
      <c r="D89" s="179"/>
      <c r="E89" s="179"/>
      <c r="F89" s="179"/>
      <c r="G89" s="179"/>
      <c r="H89" s="179"/>
      <c r="I89" s="179"/>
      <c r="J89" s="179"/>
      <c r="K89" s="179"/>
      <c r="L89" s="19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2.75">
      <c r="A90" s="183"/>
      <c r="B90" s="190"/>
      <c r="C90" s="179" t="s">
        <v>169</v>
      </c>
      <c r="D90" s="179"/>
      <c r="E90" s="179"/>
      <c r="F90" s="179"/>
      <c r="G90" s="179"/>
      <c r="H90" s="179"/>
      <c r="I90" s="179"/>
      <c r="J90" s="179"/>
      <c r="K90" s="179"/>
      <c r="L90" s="19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2.75">
      <c r="A91" s="183"/>
      <c r="B91" s="190"/>
      <c r="C91" s="179" t="s">
        <v>171</v>
      </c>
      <c r="D91" s="179"/>
      <c r="E91" s="179"/>
      <c r="F91" s="179"/>
      <c r="G91" s="179"/>
      <c r="H91" s="179"/>
      <c r="I91" s="179"/>
      <c r="J91" s="179"/>
      <c r="K91" s="179"/>
      <c r="L91" s="19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2.75">
      <c r="A92" s="183"/>
      <c r="B92" s="190"/>
      <c r="C92" s="179"/>
      <c r="D92" s="179"/>
      <c r="E92" s="179"/>
      <c r="F92" s="179"/>
      <c r="G92" s="179"/>
      <c r="H92" s="179"/>
      <c r="I92" s="179"/>
      <c r="J92" s="179"/>
      <c r="K92" s="179"/>
      <c r="L92" s="191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2.75">
      <c r="A93" s="183"/>
      <c r="B93" s="190"/>
      <c r="C93" s="179" t="s">
        <v>123</v>
      </c>
      <c r="D93" s="179"/>
      <c r="E93" s="179"/>
      <c r="F93" s="179"/>
      <c r="G93" s="179"/>
      <c r="H93" s="179"/>
      <c r="I93" s="179"/>
      <c r="J93" s="179"/>
      <c r="K93" s="179"/>
      <c r="L93" s="19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15.75" customHeight="1">
      <c r="A94" s="183"/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6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15.7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</sheetData>
  <sheetProtection sheet="1"/>
  <mergeCells count="5">
    <mergeCell ref="C5:K5"/>
    <mergeCell ref="C4:K4"/>
    <mergeCell ref="C17:K17"/>
    <mergeCell ref="F3:H3"/>
    <mergeCell ref="C77:K77"/>
  </mergeCells>
  <printOptions/>
  <pageMargins left="0.75" right="0.5" top="1" bottom="1" header="0.5" footer="0.5"/>
  <pageSetup horizontalDpi="300" verticalDpi="300" orientation="portrait" r:id="rId1"/>
  <rowBreaks count="1" manualBreakCount="1">
    <brk id="51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1.7109375" style="10" customWidth="1"/>
    <col min="2" max="12" width="8.7109375" style="10" customWidth="1"/>
    <col min="13" max="16384" width="9.140625" style="10" customWidth="1"/>
  </cols>
  <sheetData>
    <row r="1" spans="1:12" ht="12.75" customHeight="1">
      <c r="A1" s="62" t="s">
        <v>17</v>
      </c>
      <c r="B1" s="100"/>
      <c r="C1" s="163" t="s">
        <v>142</v>
      </c>
      <c r="D1" s="88"/>
      <c r="E1" s="169" t="s">
        <v>7</v>
      </c>
      <c r="F1" s="162" t="s">
        <v>180</v>
      </c>
      <c r="G1" s="162" t="s">
        <v>213</v>
      </c>
      <c r="H1" s="162" t="s">
        <v>213</v>
      </c>
      <c r="J1" s="14" t="s">
        <v>18</v>
      </c>
      <c r="K1" s="11"/>
      <c r="L1" s="11"/>
    </row>
    <row r="2" spans="1:12" ht="12.75">
      <c r="A2" s="98" t="s">
        <v>20</v>
      </c>
      <c r="B2" s="99"/>
      <c r="C2" s="164">
        <v>40</v>
      </c>
      <c r="D2" s="12"/>
      <c r="E2" s="170"/>
      <c r="F2" s="108" t="s">
        <v>185</v>
      </c>
      <c r="G2" s="168" t="s">
        <v>214</v>
      </c>
      <c r="H2" s="168" t="s">
        <v>215</v>
      </c>
      <c r="J2" s="91"/>
      <c r="K2" s="243" t="s">
        <v>182</v>
      </c>
      <c r="L2" s="244"/>
    </row>
    <row r="3" spans="1:12" ht="12.75">
      <c r="A3" s="63" t="s">
        <v>10</v>
      </c>
      <c r="B3" s="109"/>
      <c r="C3" s="105">
        <v>-0.5</v>
      </c>
      <c r="E3" s="171" t="s">
        <v>3</v>
      </c>
      <c r="F3" s="106">
        <v>0</v>
      </c>
      <c r="G3" s="107">
        <v>0</v>
      </c>
      <c r="H3" s="107">
        <v>0</v>
      </c>
      <c r="J3" s="92"/>
      <c r="K3" s="94" t="s">
        <v>5</v>
      </c>
      <c r="L3" s="96"/>
    </row>
    <row r="4" spans="1:12" ht="12.75">
      <c r="A4" s="63" t="s">
        <v>19</v>
      </c>
      <c r="B4" s="109"/>
      <c r="C4" s="105">
        <v>2.74</v>
      </c>
      <c r="E4" s="98" t="s">
        <v>21</v>
      </c>
      <c r="F4" s="177">
        <f>F3*C$2</f>
        <v>0</v>
      </c>
      <c r="G4" s="177">
        <f>G3*C$2</f>
        <v>0</v>
      </c>
      <c r="H4" s="177">
        <f>H3*C$2</f>
        <v>0</v>
      </c>
      <c r="J4" s="90" t="s">
        <v>183</v>
      </c>
      <c r="K4" s="95" t="s">
        <v>1</v>
      </c>
      <c r="L4" s="97" t="s">
        <v>0</v>
      </c>
    </row>
    <row r="5" spans="1:12" ht="12.75">
      <c r="A5" s="98" t="s">
        <v>192</v>
      </c>
      <c r="B5" s="101"/>
      <c r="C5" s="167" t="s">
        <v>170</v>
      </c>
      <c r="E5" s="98" t="s">
        <v>1</v>
      </c>
      <c r="F5" s="105">
        <v>0</v>
      </c>
      <c r="G5" s="105">
        <v>0</v>
      </c>
      <c r="H5" s="105">
        <v>0</v>
      </c>
      <c r="I5" s="15"/>
      <c r="J5" s="93" t="s">
        <v>8</v>
      </c>
      <c r="K5" s="165">
        <v>4.5</v>
      </c>
      <c r="L5" s="166">
        <v>0</v>
      </c>
    </row>
    <row r="6" spans="1:12" ht="12.75">
      <c r="A6" s="98" t="str">
        <f>IF($D$200=1,"  Insured Price*","  Insured Price")</f>
        <v>  Insured Price*</v>
      </c>
      <c r="B6" s="102"/>
      <c r="C6" s="105">
        <v>5.13</v>
      </c>
      <c r="D6" s="89"/>
      <c r="E6" s="98" t="s">
        <v>4</v>
      </c>
      <c r="F6" s="124"/>
      <c r="G6" s="105">
        <v>0</v>
      </c>
      <c r="H6" s="105">
        <v>0</v>
      </c>
      <c r="J6" s="93" t="s">
        <v>6</v>
      </c>
      <c r="K6" s="165">
        <v>0.4</v>
      </c>
      <c r="L6" s="166">
        <v>8</v>
      </c>
    </row>
    <row r="7" spans="1:12" ht="12.75">
      <c r="A7" s="103" t="s">
        <v>178</v>
      </c>
      <c r="B7" s="102"/>
      <c r="C7" s="107">
        <v>0.7</v>
      </c>
      <c r="D7" s="9"/>
      <c r="E7" s="178" t="s">
        <v>191</v>
      </c>
      <c r="J7" s="204">
        <f>IF((K5+C3)&lt;0,"ERROR:   Low Start price","")</f>
      </c>
      <c r="K7" s="203"/>
      <c r="L7" s="203"/>
    </row>
    <row r="8" spans="1:12" ht="12.75">
      <c r="A8" s="103" t="s">
        <v>179</v>
      </c>
      <c r="B8" s="104"/>
      <c r="C8" s="105">
        <v>14</v>
      </c>
      <c r="D8" s="9"/>
      <c r="E8" s="65" t="s">
        <v>219</v>
      </c>
      <c r="J8" s="204">
        <f>IF((K5+C3)&lt;0,"creates a negative cash price.","")</f>
      </c>
      <c r="K8" s="203"/>
      <c r="L8" s="203"/>
    </row>
    <row r="9" spans="1:12" ht="12.75" customHeight="1">
      <c r="A9" s="13" t="str">
        <f>IF($D$200=1,"*Enter projected price for revenue insurance.","")</f>
        <v>*Enter projected price for revenue insurance.</v>
      </c>
      <c r="D9" s="87"/>
      <c r="E9" s="201">
        <f>IF(F3&gt;0,IF(F5&lt;0.01,"Enter a futures price",""),"")</f>
      </c>
      <c r="F9" s="202"/>
      <c r="G9" s="203"/>
      <c r="H9" s="203"/>
      <c r="J9" s="204">
        <f>IF((K5+C3)&lt;0,"Change start price and/or basis.","")</f>
      </c>
      <c r="K9" s="203"/>
      <c r="L9" s="203"/>
    </row>
    <row r="10" spans="1:12" ht="12.75" customHeight="1">
      <c r="A10" s="205">
        <f>IF(C3&gt;0," Basis is usually a negative number","")</f>
      </c>
      <c r="B10" s="203"/>
      <c r="C10" s="203"/>
      <c r="D10" s="203"/>
      <c r="E10" s="204">
        <f>IF(G3&gt;0,IF(MIN(G5,G6)&lt;0.01,"Input a Put strike price and premium/unit",""),"")</f>
      </c>
      <c r="F10" s="203"/>
      <c r="G10" s="203"/>
      <c r="H10" s="203"/>
      <c r="I10" s="203"/>
      <c r="J10" s="203"/>
      <c r="K10" s="203"/>
      <c r="L10" s="203"/>
    </row>
    <row r="11" spans="1:12" ht="12.75" customHeight="1">
      <c r="A11" s="204">
        <f>IF(MIN(C2,C4,C6,C8,F3,G3,H3,F5,G5,H5,G6,H6,K5,L5,K6,L6)&lt;0,"ERROR: Negative # entry other than 'Basis' ","")</f>
      </c>
      <c r="B11" s="203"/>
      <c r="C11" s="206"/>
      <c r="D11" s="203"/>
      <c r="E11" s="204">
        <f>IF(H3&gt;0,IF(MIN(H5,H6)&lt;0.01,"Input a Call strike price and premium/unit",""),"")</f>
      </c>
      <c r="F11" s="203"/>
      <c r="G11" s="203"/>
      <c r="H11" s="203"/>
      <c r="I11" s="203"/>
      <c r="J11" s="203"/>
      <c r="K11" s="203"/>
      <c r="L11" s="203"/>
    </row>
    <row r="12" ht="12.75">
      <c r="A12" s="39">
        <f>IF(C7&gt;0.85,"ERROR: Max. Coverage Level is 85%",IF(MIN(C6,C7,C8)&lt;0.01,"ERROR: Enter all crop insurance information",""))</f>
      </c>
    </row>
    <row r="37" ht="12.75">
      <c r="A37" s="16"/>
    </row>
    <row r="39" spans="1:12" ht="12.75">
      <c r="A39" s="17" t="s">
        <v>217</v>
      </c>
      <c r="B39" s="17"/>
      <c r="C39" s="18"/>
      <c r="D39" s="18"/>
      <c r="E39" s="17"/>
      <c r="F39" s="17"/>
      <c r="G39" s="17"/>
      <c r="H39" s="19"/>
      <c r="I39" s="20"/>
      <c r="J39" s="21"/>
      <c r="K39" s="22"/>
      <c r="L39" s="22"/>
    </row>
    <row r="40" spans="1:12" ht="12.75">
      <c r="A40" s="239" t="s">
        <v>14</v>
      </c>
      <c r="B40" s="240"/>
      <c r="C40" s="49"/>
      <c r="D40" s="50"/>
      <c r="E40" s="50"/>
      <c r="F40" s="50"/>
      <c r="G40" s="51" t="s">
        <v>0</v>
      </c>
      <c r="H40" s="50"/>
      <c r="I40" s="50"/>
      <c r="J40" s="41"/>
      <c r="K40" s="41"/>
      <c r="L40" s="52"/>
    </row>
    <row r="41" spans="1:12" ht="12.75">
      <c r="A41" s="43" t="s">
        <v>5</v>
      </c>
      <c r="B41" s="44" t="s">
        <v>15</v>
      </c>
      <c r="C41" s="53">
        <f>$L$5</f>
        <v>0</v>
      </c>
      <c r="D41" s="42">
        <f>$L$5+$L$6</f>
        <v>8</v>
      </c>
      <c r="E41" s="42">
        <f>$L$5+$L$6*2</f>
        <v>16</v>
      </c>
      <c r="F41" s="42">
        <f>$L$5+$L$6*3</f>
        <v>24</v>
      </c>
      <c r="G41" s="42">
        <f>$L$5+$L$6*4</f>
        <v>32</v>
      </c>
      <c r="H41" s="42">
        <f>$L$5+$L$6*5</f>
        <v>40</v>
      </c>
      <c r="I41" s="42">
        <f>$L$5+$L$6*6</f>
        <v>48</v>
      </c>
      <c r="J41" s="42">
        <f>$L$5+$L$6*7</f>
        <v>56</v>
      </c>
      <c r="K41" s="42">
        <f>$L$5+$L$6*8</f>
        <v>64</v>
      </c>
      <c r="L41" s="54">
        <f>$L$5+$L$6*9</f>
        <v>72</v>
      </c>
    </row>
    <row r="42" spans="1:12" ht="12.75">
      <c r="A42" s="55">
        <f>$K$5</f>
        <v>4.5</v>
      </c>
      <c r="B42" s="45">
        <f>A42+$C$3</f>
        <v>4</v>
      </c>
      <c r="C42" s="23">
        <f aca="true" t="shared" si="0" ref="C42:J42">C60</f>
        <v>129.64</v>
      </c>
      <c r="D42" s="24">
        <f t="shared" si="0"/>
        <v>125.63999999999999</v>
      </c>
      <c r="E42" s="24">
        <f t="shared" si="0"/>
        <v>121.63999999999999</v>
      </c>
      <c r="F42" s="25">
        <f t="shared" si="0"/>
        <v>117.63999999999999</v>
      </c>
      <c r="G42" s="25">
        <f t="shared" si="0"/>
        <v>114</v>
      </c>
      <c r="H42" s="25">
        <f t="shared" si="0"/>
        <v>146</v>
      </c>
      <c r="I42" s="25">
        <f t="shared" si="0"/>
        <v>178</v>
      </c>
      <c r="J42" s="25">
        <f t="shared" si="0"/>
        <v>210</v>
      </c>
      <c r="K42" s="25">
        <f>K60</f>
        <v>242</v>
      </c>
      <c r="L42" s="56">
        <f>L60</f>
        <v>274</v>
      </c>
    </row>
    <row r="43" spans="1:12" ht="12.75">
      <c r="A43" s="55">
        <f>$K$5+$K$6</f>
        <v>4.9</v>
      </c>
      <c r="B43" s="45">
        <f>A43+$C$3</f>
        <v>4.4</v>
      </c>
      <c r="C43" s="26">
        <f aca="true" t="shared" si="1" ref="C43:J43">C68</f>
        <v>129.64</v>
      </c>
      <c r="D43" s="27">
        <f t="shared" si="1"/>
        <v>125.63999999999999</v>
      </c>
      <c r="E43" s="27">
        <f t="shared" si="1"/>
        <v>121.63999999999999</v>
      </c>
      <c r="F43" s="27">
        <f t="shared" si="1"/>
        <v>117.63999999999999</v>
      </c>
      <c r="G43" s="27">
        <f t="shared" si="1"/>
        <v>126.80000000000001</v>
      </c>
      <c r="H43" s="27">
        <f t="shared" si="1"/>
        <v>162</v>
      </c>
      <c r="I43" s="27">
        <f t="shared" si="1"/>
        <v>197.20000000000002</v>
      </c>
      <c r="J43" s="27">
        <f t="shared" si="1"/>
        <v>232.40000000000003</v>
      </c>
      <c r="K43" s="27">
        <f>K68</f>
        <v>267.6</v>
      </c>
      <c r="L43" s="57">
        <f>L68</f>
        <v>302.8</v>
      </c>
    </row>
    <row r="44" spans="1:12" ht="12.75">
      <c r="A44" s="55">
        <f>$K$5+$K$6*2</f>
        <v>5.3</v>
      </c>
      <c r="B44" s="45">
        <f>A44+$C$3</f>
        <v>4.8</v>
      </c>
      <c r="C44" s="26">
        <f aca="true" t="shared" si="2" ref="C44:J44">C76</f>
        <v>134.39999999999998</v>
      </c>
      <c r="D44" s="27">
        <f t="shared" si="2"/>
        <v>130.39999999999998</v>
      </c>
      <c r="E44" s="27">
        <f t="shared" si="2"/>
        <v>126.39999999999998</v>
      </c>
      <c r="F44" s="27">
        <f t="shared" si="2"/>
        <v>122.39999999999998</v>
      </c>
      <c r="G44" s="27">
        <f t="shared" si="2"/>
        <v>139.6</v>
      </c>
      <c r="H44" s="27">
        <f t="shared" si="2"/>
        <v>178</v>
      </c>
      <c r="I44" s="27">
        <f t="shared" si="2"/>
        <v>216.39999999999998</v>
      </c>
      <c r="J44" s="27">
        <f t="shared" si="2"/>
        <v>254.8</v>
      </c>
      <c r="K44" s="27">
        <f>K76</f>
        <v>293.2</v>
      </c>
      <c r="L44" s="57">
        <f>L76</f>
        <v>331.59999999999997</v>
      </c>
    </row>
    <row r="45" spans="1:12" ht="12.75">
      <c r="A45" s="55">
        <f>$K$5+$K$6*3</f>
        <v>5.7</v>
      </c>
      <c r="B45" s="45">
        <f>A45+$C$3</f>
        <v>5.2</v>
      </c>
      <c r="C45" s="26">
        <f aca="true" t="shared" si="3" ref="C45:J45">C84</f>
        <v>145.6</v>
      </c>
      <c r="D45" s="27">
        <f t="shared" si="3"/>
        <v>141.6</v>
      </c>
      <c r="E45" s="27">
        <f t="shared" si="3"/>
        <v>137.6</v>
      </c>
      <c r="F45" s="27">
        <f t="shared" si="3"/>
        <v>133.6</v>
      </c>
      <c r="G45" s="27">
        <f t="shared" si="3"/>
        <v>152.4</v>
      </c>
      <c r="H45" s="27">
        <f t="shared" si="3"/>
        <v>194</v>
      </c>
      <c r="I45" s="27">
        <f t="shared" si="3"/>
        <v>235.60000000000002</v>
      </c>
      <c r="J45" s="27">
        <f t="shared" si="3"/>
        <v>277.2</v>
      </c>
      <c r="K45" s="27">
        <f>K84</f>
        <v>318.8</v>
      </c>
      <c r="L45" s="57">
        <f>L84</f>
        <v>360.40000000000003</v>
      </c>
    </row>
    <row r="46" spans="1:12" ht="12.75">
      <c r="A46" s="58">
        <f>$K$5+$K$6*4</f>
        <v>6.1</v>
      </c>
      <c r="B46" s="46">
        <f>A46+$C$3</f>
        <v>5.6</v>
      </c>
      <c r="C46" s="29">
        <f aca="true" t="shared" si="4" ref="C46:J46">C92</f>
        <v>156.79999999999998</v>
      </c>
      <c r="D46" s="30">
        <f t="shared" si="4"/>
        <v>152.79999999999998</v>
      </c>
      <c r="E46" s="30">
        <f t="shared" si="4"/>
        <v>148.79999999999998</v>
      </c>
      <c r="F46" s="30">
        <f t="shared" si="4"/>
        <v>144.79999999999998</v>
      </c>
      <c r="G46" s="30">
        <f t="shared" si="4"/>
        <v>165.2</v>
      </c>
      <c r="H46" s="30">
        <f t="shared" si="4"/>
        <v>210</v>
      </c>
      <c r="I46" s="30">
        <f t="shared" si="4"/>
        <v>254.79999999999995</v>
      </c>
      <c r="J46" s="30">
        <f t="shared" si="4"/>
        <v>299.59999999999997</v>
      </c>
      <c r="K46" s="30">
        <f>K92</f>
        <v>344.4</v>
      </c>
      <c r="L46" s="59">
        <f>L92</f>
        <v>389.2</v>
      </c>
    </row>
    <row r="47" spans="1:8" ht="12.75">
      <c r="A47" s="64" t="s">
        <v>159</v>
      </c>
      <c r="B47" s="65"/>
      <c r="C47" s="65"/>
      <c r="D47" s="65"/>
      <c r="E47" s="65"/>
      <c r="F47" s="65"/>
      <c r="G47" s="65"/>
      <c r="H47" s="65"/>
    </row>
    <row r="50" spans="1:12" ht="13.5" thickBot="1">
      <c r="A50" s="31"/>
      <c r="B50" s="31"/>
      <c r="C50" s="32"/>
      <c r="D50" s="32"/>
      <c r="E50" s="32"/>
      <c r="F50" s="28"/>
      <c r="G50" s="28"/>
      <c r="H50" s="28"/>
      <c r="I50" s="28"/>
      <c r="J50" s="28"/>
      <c r="K50" s="28"/>
      <c r="L50" s="28"/>
    </row>
    <row r="51" spans="1:10" ht="13.5" thickBot="1">
      <c r="A51" s="241" t="s">
        <v>14</v>
      </c>
      <c r="B51" s="242"/>
      <c r="D51" s="32" t="s">
        <v>216</v>
      </c>
      <c r="G51" s="32"/>
      <c r="H51" s="32"/>
      <c r="I51" s="32"/>
      <c r="J51" s="33"/>
    </row>
    <row r="52" spans="1:10" ht="13.5" thickBot="1">
      <c r="A52" s="86" t="s">
        <v>9</v>
      </c>
      <c r="B52" s="86" t="s">
        <v>15</v>
      </c>
      <c r="C52" s="68"/>
      <c r="D52" s="69"/>
      <c r="E52" s="69"/>
      <c r="F52" s="69"/>
      <c r="G52" s="70" t="s">
        <v>11</v>
      </c>
      <c r="H52" s="71"/>
      <c r="I52" s="69"/>
      <c r="J52" s="69"/>
    </row>
    <row r="53" spans="1:12" ht="12.75">
      <c r="A53" s="72">
        <f>$A$42</f>
        <v>4.5</v>
      </c>
      <c r="B53" s="73">
        <f>$B$42</f>
        <v>4</v>
      </c>
      <c r="C53" s="74">
        <f aca="true" t="shared" si="5" ref="C53:L53">C$41</f>
        <v>0</v>
      </c>
      <c r="D53" s="74">
        <f t="shared" si="5"/>
        <v>8</v>
      </c>
      <c r="E53" s="74">
        <f t="shared" si="5"/>
        <v>16</v>
      </c>
      <c r="F53" s="74">
        <f t="shared" si="5"/>
        <v>24</v>
      </c>
      <c r="G53" s="74">
        <f t="shared" si="5"/>
        <v>32</v>
      </c>
      <c r="H53" s="74">
        <f t="shared" si="5"/>
        <v>40</v>
      </c>
      <c r="I53" s="74">
        <f t="shared" si="5"/>
        <v>48</v>
      </c>
      <c r="J53" s="74">
        <f t="shared" si="5"/>
        <v>56</v>
      </c>
      <c r="K53" s="74">
        <f t="shared" si="5"/>
        <v>64</v>
      </c>
      <c r="L53" s="75">
        <f t="shared" si="5"/>
        <v>72</v>
      </c>
    </row>
    <row r="54" spans="1:12" ht="12.75">
      <c r="A54" s="76" t="s">
        <v>141</v>
      </c>
      <c r="B54" s="34"/>
      <c r="C54" s="35">
        <f>MAX(0,$B53*C$53)</f>
        <v>0</v>
      </c>
      <c r="D54" s="35">
        <f aca="true" t="shared" si="6" ref="D54:L54">MAX(0,$B53*D$53)</f>
        <v>32</v>
      </c>
      <c r="E54" s="35">
        <f t="shared" si="6"/>
        <v>64</v>
      </c>
      <c r="F54" s="35">
        <f t="shared" si="6"/>
        <v>96</v>
      </c>
      <c r="G54" s="35">
        <f t="shared" si="6"/>
        <v>128</v>
      </c>
      <c r="H54" s="35">
        <f t="shared" si="6"/>
        <v>160</v>
      </c>
      <c r="I54" s="35">
        <f t="shared" si="6"/>
        <v>192</v>
      </c>
      <c r="J54" s="35">
        <f t="shared" si="6"/>
        <v>224</v>
      </c>
      <c r="K54" s="35">
        <f t="shared" si="6"/>
        <v>256</v>
      </c>
      <c r="L54" s="77">
        <f t="shared" si="6"/>
        <v>288</v>
      </c>
    </row>
    <row r="55" spans="1:12" ht="12.75">
      <c r="A55" s="78" t="str">
        <f>IF($D$200=1,"Revenue ins. - premium:",IF($D$200=2,"Yield insur. - premium:",IF($D$200=3,"APH insur. - premium:","No insurance")))</f>
        <v>Revenue ins. - premium:</v>
      </c>
      <c r="B55" s="28"/>
      <c r="C55" s="36">
        <f aca="true" t="shared" si="7" ref="C55:L55">IF($D$200=4,0,IF($D$200=1,MAX(0,$G$200-($A53*C$53)),MAX(0,$C$2*$C$7-C$53)*$C$6)-$C$8)</f>
        <v>129.64</v>
      </c>
      <c r="D55" s="36">
        <f t="shared" si="7"/>
        <v>93.63999999999999</v>
      </c>
      <c r="E55" s="36">
        <f t="shared" si="7"/>
        <v>57.639999999999986</v>
      </c>
      <c r="F55" s="36">
        <f t="shared" si="7"/>
        <v>21.639999999999986</v>
      </c>
      <c r="G55" s="36">
        <f t="shared" si="7"/>
        <v>-14</v>
      </c>
      <c r="H55" s="36">
        <f t="shared" si="7"/>
        <v>-14</v>
      </c>
      <c r="I55" s="36">
        <f t="shared" si="7"/>
        <v>-14</v>
      </c>
      <c r="J55" s="36">
        <f t="shared" si="7"/>
        <v>-14</v>
      </c>
      <c r="K55" s="36">
        <f t="shared" si="7"/>
        <v>-14</v>
      </c>
      <c r="L55" s="79">
        <f t="shared" si="7"/>
        <v>-14</v>
      </c>
    </row>
    <row r="56" spans="1:12" ht="12.75">
      <c r="A56" s="78" t="s">
        <v>218</v>
      </c>
      <c r="B56" s="28"/>
      <c r="C56" s="37">
        <f aca="true" t="shared" si="8" ref="C56:L56">($F$5-$A53)*$F$4</f>
        <v>0</v>
      </c>
      <c r="D56" s="37">
        <f t="shared" si="8"/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80">
        <f t="shared" si="8"/>
        <v>0</v>
      </c>
    </row>
    <row r="57" spans="1:12" ht="12.75">
      <c r="A57" s="78" t="s">
        <v>22</v>
      </c>
      <c r="B57" s="28"/>
      <c r="C57" s="38">
        <f>IF($G$3&gt;0,(MAX(0,$G$5-$A53)-$G$6)*$G$4,0)</f>
        <v>0</v>
      </c>
      <c r="D57" s="38">
        <f aca="true" t="shared" si="9" ref="D57:L57">IF($G$3&gt;0,(MAX(0,$G$5-$A53)-$G$6)*$G$4,0)</f>
        <v>0</v>
      </c>
      <c r="E57" s="38">
        <f t="shared" si="9"/>
        <v>0</v>
      </c>
      <c r="F57" s="38">
        <f t="shared" si="9"/>
        <v>0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8">
        <f t="shared" si="9"/>
        <v>0</v>
      </c>
      <c r="L57" s="81">
        <f t="shared" si="9"/>
        <v>0</v>
      </c>
    </row>
    <row r="58" spans="1:12" ht="12.75">
      <c r="A58" s="78" t="s">
        <v>23</v>
      </c>
      <c r="B58" s="28"/>
      <c r="C58" s="38">
        <f>IF(MIN($H$3,$H$5)&gt;0,(MAX(0,$A53-$H$5)-$H$6)*$H$4,0)</f>
        <v>0</v>
      </c>
      <c r="D58" s="38">
        <f aca="true" t="shared" si="10" ref="D58:L58">IF(MIN($H$3,$H$5)&gt;0,(MAX(0,$A53-$H$5)-$H$6)*$H$4,0)</f>
        <v>0</v>
      </c>
      <c r="E58" s="38">
        <f t="shared" si="10"/>
        <v>0</v>
      </c>
      <c r="F58" s="38">
        <f t="shared" si="10"/>
        <v>0</v>
      </c>
      <c r="G58" s="38">
        <f t="shared" si="10"/>
        <v>0</v>
      </c>
      <c r="H58" s="38">
        <f t="shared" si="10"/>
        <v>0</v>
      </c>
      <c r="I58" s="38">
        <f t="shared" si="10"/>
        <v>0</v>
      </c>
      <c r="J58" s="38">
        <f t="shared" si="10"/>
        <v>0</v>
      </c>
      <c r="K58" s="38">
        <f t="shared" si="10"/>
        <v>0</v>
      </c>
      <c r="L58" s="81">
        <f t="shared" si="10"/>
        <v>0</v>
      </c>
    </row>
    <row r="59" spans="1:12" ht="12.75">
      <c r="A59" s="175" t="s">
        <v>2</v>
      </c>
      <c r="B59" s="22"/>
      <c r="C59" s="172">
        <f aca="true" t="shared" si="11" ref="C59:L59">C$53*MAX(0,$C$4-$B53)</f>
        <v>0</v>
      </c>
      <c r="D59" s="172">
        <f t="shared" si="11"/>
        <v>0</v>
      </c>
      <c r="E59" s="172">
        <f t="shared" si="11"/>
        <v>0</v>
      </c>
      <c r="F59" s="172">
        <f t="shared" si="11"/>
        <v>0</v>
      </c>
      <c r="G59" s="172">
        <f t="shared" si="11"/>
        <v>0</v>
      </c>
      <c r="H59" s="172">
        <f t="shared" si="11"/>
        <v>0</v>
      </c>
      <c r="I59" s="172">
        <f t="shared" si="11"/>
        <v>0</v>
      </c>
      <c r="J59" s="172">
        <f t="shared" si="11"/>
        <v>0</v>
      </c>
      <c r="K59" s="172">
        <f t="shared" si="11"/>
        <v>0</v>
      </c>
      <c r="L59" s="176">
        <f t="shared" si="11"/>
        <v>0</v>
      </c>
    </row>
    <row r="60" spans="1:12" ht="13.5" thickBot="1">
      <c r="A60" s="82" t="s">
        <v>177</v>
      </c>
      <c r="B60" s="66"/>
      <c r="C60" s="67">
        <f aca="true" t="shared" si="12" ref="C60:L60">SUM(C54:C59)</f>
        <v>129.64</v>
      </c>
      <c r="D60" s="67">
        <f t="shared" si="12"/>
        <v>125.63999999999999</v>
      </c>
      <c r="E60" s="67">
        <f t="shared" si="12"/>
        <v>121.63999999999999</v>
      </c>
      <c r="F60" s="67">
        <f t="shared" si="12"/>
        <v>117.63999999999999</v>
      </c>
      <c r="G60" s="67">
        <f t="shared" si="12"/>
        <v>114</v>
      </c>
      <c r="H60" s="67">
        <f t="shared" si="12"/>
        <v>146</v>
      </c>
      <c r="I60" s="67">
        <f t="shared" si="12"/>
        <v>178</v>
      </c>
      <c r="J60" s="67">
        <f t="shared" si="12"/>
        <v>210</v>
      </c>
      <c r="K60" s="67">
        <f t="shared" si="12"/>
        <v>242</v>
      </c>
      <c r="L60" s="83">
        <f t="shared" si="12"/>
        <v>274</v>
      </c>
    </row>
    <row r="61" spans="1:12" ht="12.75">
      <c r="A61" s="84">
        <f>$A$43</f>
        <v>4.9</v>
      </c>
      <c r="B61" s="48">
        <f>$B$43</f>
        <v>4.4</v>
      </c>
      <c r="C61" s="47">
        <f aca="true" t="shared" si="13" ref="C61:L61">C$41</f>
        <v>0</v>
      </c>
      <c r="D61" s="47">
        <f t="shared" si="13"/>
        <v>8</v>
      </c>
      <c r="E61" s="47">
        <f t="shared" si="13"/>
        <v>16</v>
      </c>
      <c r="F61" s="47">
        <f t="shared" si="13"/>
        <v>24</v>
      </c>
      <c r="G61" s="47">
        <f t="shared" si="13"/>
        <v>32</v>
      </c>
      <c r="H61" s="47">
        <f t="shared" si="13"/>
        <v>40</v>
      </c>
      <c r="I61" s="47">
        <f t="shared" si="13"/>
        <v>48</v>
      </c>
      <c r="J61" s="47">
        <f t="shared" si="13"/>
        <v>56</v>
      </c>
      <c r="K61" s="47">
        <f t="shared" si="13"/>
        <v>64</v>
      </c>
      <c r="L61" s="85">
        <f t="shared" si="13"/>
        <v>72</v>
      </c>
    </row>
    <row r="62" spans="1:12" ht="12.75">
      <c r="A62" s="76" t="s">
        <v>141</v>
      </c>
      <c r="B62" s="173"/>
      <c r="C62" s="35">
        <f>MAX(0,$B61*C$53)</f>
        <v>0</v>
      </c>
      <c r="D62" s="35">
        <f aca="true" t="shared" si="14" ref="D62:L62">MAX(0,$B61*D$53)</f>
        <v>35.2</v>
      </c>
      <c r="E62" s="35">
        <f t="shared" si="14"/>
        <v>70.4</v>
      </c>
      <c r="F62" s="35">
        <f t="shared" si="14"/>
        <v>105.60000000000001</v>
      </c>
      <c r="G62" s="35">
        <f t="shared" si="14"/>
        <v>140.8</v>
      </c>
      <c r="H62" s="35">
        <f t="shared" si="14"/>
        <v>176</v>
      </c>
      <c r="I62" s="35">
        <f t="shared" si="14"/>
        <v>211.20000000000002</v>
      </c>
      <c r="J62" s="35">
        <f t="shared" si="14"/>
        <v>246.40000000000003</v>
      </c>
      <c r="K62" s="35">
        <f t="shared" si="14"/>
        <v>281.6</v>
      </c>
      <c r="L62" s="77">
        <f t="shared" si="14"/>
        <v>316.8</v>
      </c>
    </row>
    <row r="63" spans="1:12" ht="12.75">
      <c r="A63" s="78" t="str">
        <f>IF($D$200=1,"Revenue ins. - premium:",IF($D$200=2,"Yield insur. - premium:",IF($D$200=3,"APH insur. - premium:","No insurance")))</f>
        <v>Revenue ins. - premium:</v>
      </c>
      <c r="B63" s="31"/>
      <c r="C63" s="36">
        <f aca="true" t="shared" si="15" ref="C63:L63">IF($D$200=4,0,IF($D$200=1,MAX(0,$G$201-($A61*C$53)),MAX(0,$C$2*$C$7-C$53)*$C$6)-$C$8)</f>
        <v>129.64</v>
      </c>
      <c r="D63" s="36">
        <f t="shared" si="15"/>
        <v>90.43999999999998</v>
      </c>
      <c r="E63" s="36">
        <f t="shared" si="15"/>
        <v>51.23999999999998</v>
      </c>
      <c r="F63" s="36">
        <f t="shared" si="15"/>
        <v>12.039999999999978</v>
      </c>
      <c r="G63" s="36">
        <f t="shared" si="15"/>
        <v>-14</v>
      </c>
      <c r="H63" s="36">
        <f t="shared" si="15"/>
        <v>-14</v>
      </c>
      <c r="I63" s="36">
        <f t="shared" si="15"/>
        <v>-14</v>
      </c>
      <c r="J63" s="36">
        <f t="shared" si="15"/>
        <v>-14</v>
      </c>
      <c r="K63" s="36">
        <f t="shared" si="15"/>
        <v>-14</v>
      </c>
      <c r="L63" s="79">
        <f t="shared" si="15"/>
        <v>-14</v>
      </c>
    </row>
    <row r="64" spans="1:12" ht="12.75">
      <c r="A64" s="78" t="s">
        <v>218</v>
      </c>
      <c r="B64" s="31"/>
      <c r="C64" s="37">
        <f aca="true" t="shared" si="16" ref="C64:L64">($F$5-$A61)*$F$4</f>
        <v>0</v>
      </c>
      <c r="D64" s="37">
        <f t="shared" si="16"/>
        <v>0</v>
      </c>
      <c r="E64" s="37">
        <f t="shared" si="16"/>
        <v>0</v>
      </c>
      <c r="F64" s="37">
        <f t="shared" si="16"/>
        <v>0</v>
      </c>
      <c r="G64" s="37">
        <f t="shared" si="16"/>
        <v>0</v>
      </c>
      <c r="H64" s="37">
        <f t="shared" si="16"/>
        <v>0</v>
      </c>
      <c r="I64" s="37">
        <f t="shared" si="16"/>
        <v>0</v>
      </c>
      <c r="J64" s="37">
        <f t="shared" si="16"/>
        <v>0</v>
      </c>
      <c r="K64" s="37">
        <f t="shared" si="16"/>
        <v>0</v>
      </c>
      <c r="L64" s="80">
        <f t="shared" si="16"/>
        <v>0</v>
      </c>
    </row>
    <row r="65" spans="1:12" ht="12.75">
      <c r="A65" s="78" t="s">
        <v>22</v>
      </c>
      <c r="B65" s="31"/>
      <c r="C65" s="38">
        <f aca="true" t="shared" si="17" ref="C65:L65">IF($G$3&gt;0,(MAX(0,$G$5-$A61)-$G$6)*$G$4,0)</f>
        <v>0</v>
      </c>
      <c r="D65" s="38">
        <f t="shared" si="17"/>
        <v>0</v>
      </c>
      <c r="E65" s="38">
        <f t="shared" si="17"/>
        <v>0</v>
      </c>
      <c r="F65" s="38">
        <f t="shared" si="17"/>
        <v>0</v>
      </c>
      <c r="G65" s="38">
        <f t="shared" si="17"/>
        <v>0</v>
      </c>
      <c r="H65" s="38">
        <f t="shared" si="17"/>
        <v>0</v>
      </c>
      <c r="I65" s="38">
        <f t="shared" si="17"/>
        <v>0</v>
      </c>
      <c r="J65" s="38">
        <f t="shared" si="17"/>
        <v>0</v>
      </c>
      <c r="K65" s="38">
        <f t="shared" si="17"/>
        <v>0</v>
      </c>
      <c r="L65" s="81">
        <f t="shared" si="17"/>
        <v>0</v>
      </c>
    </row>
    <row r="66" spans="1:12" ht="12.75">
      <c r="A66" s="78" t="s">
        <v>23</v>
      </c>
      <c r="B66" s="31"/>
      <c r="C66" s="38">
        <f aca="true" t="shared" si="18" ref="C66:L66">IF(MIN($H$3,$H$5)&gt;0,(MAX(0,$A61-$H$5)-$H$6)*$H$4,0)</f>
        <v>0</v>
      </c>
      <c r="D66" s="38">
        <f t="shared" si="18"/>
        <v>0</v>
      </c>
      <c r="E66" s="38">
        <f t="shared" si="18"/>
        <v>0</v>
      </c>
      <c r="F66" s="38">
        <f t="shared" si="18"/>
        <v>0</v>
      </c>
      <c r="G66" s="38">
        <f t="shared" si="18"/>
        <v>0</v>
      </c>
      <c r="H66" s="38">
        <f t="shared" si="18"/>
        <v>0</v>
      </c>
      <c r="I66" s="38">
        <f t="shared" si="18"/>
        <v>0</v>
      </c>
      <c r="J66" s="38">
        <f t="shared" si="18"/>
        <v>0</v>
      </c>
      <c r="K66" s="38">
        <f t="shared" si="18"/>
        <v>0</v>
      </c>
      <c r="L66" s="81">
        <f t="shared" si="18"/>
        <v>0</v>
      </c>
    </row>
    <row r="67" spans="1:12" ht="12.75">
      <c r="A67" s="175" t="s">
        <v>2</v>
      </c>
      <c r="B67" s="174"/>
      <c r="C67" s="172">
        <f aca="true" t="shared" si="19" ref="C67:L67">C$53*MAX(0,$C$4-$B61)</f>
        <v>0</v>
      </c>
      <c r="D67" s="172">
        <f t="shared" si="19"/>
        <v>0</v>
      </c>
      <c r="E67" s="172">
        <f t="shared" si="19"/>
        <v>0</v>
      </c>
      <c r="F67" s="172">
        <f t="shared" si="19"/>
        <v>0</v>
      </c>
      <c r="G67" s="172">
        <f t="shared" si="19"/>
        <v>0</v>
      </c>
      <c r="H67" s="172">
        <f t="shared" si="19"/>
        <v>0</v>
      </c>
      <c r="I67" s="172">
        <f t="shared" si="19"/>
        <v>0</v>
      </c>
      <c r="J67" s="172">
        <f t="shared" si="19"/>
        <v>0</v>
      </c>
      <c r="K67" s="172">
        <f t="shared" si="19"/>
        <v>0</v>
      </c>
      <c r="L67" s="176">
        <f t="shared" si="19"/>
        <v>0</v>
      </c>
    </row>
    <row r="68" spans="1:12" ht="13.5" thickBot="1">
      <c r="A68" s="82" t="s">
        <v>177</v>
      </c>
      <c r="B68" s="66"/>
      <c r="C68" s="67">
        <f aca="true" t="shared" si="20" ref="C68:L68">SUM(C62:C67)</f>
        <v>129.64</v>
      </c>
      <c r="D68" s="67">
        <f t="shared" si="20"/>
        <v>125.63999999999999</v>
      </c>
      <c r="E68" s="67">
        <f t="shared" si="20"/>
        <v>121.63999999999999</v>
      </c>
      <c r="F68" s="67">
        <f t="shared" si="20"/>
        <v>117.63999999999999</v>
      </c>
      <c r="G68" s="67">
        <f t="shared" si="20"/>
        <v>126.80000000000001</v>
      </c>
      <c r="H68" s="67">
        <f t="shared" si="20"/>
        <v>162</v>
      </c>
      <c r="I68" s="67">
        <f t="shared" si="20"/>
        <v>197.20000000000002</v>
      </c>
      <c r="J68" s="67">
        <f t="shared" si="20"/>
        <v>232.40000000000003</v>
      </c>
      <c r="K68" s="67">
        <f t="shared" si="20"/>
        <v>267.6</v>
      </c>
      <c r="L68" s="83">
        <f t="shared" si="20"/>
        <v>302.8</v>
      </c>
    </row>
    <row r="69" spans="1:12" ht="12.75">
      <c r="A69" s="84">
        <f>$A$44</f>
        <v>5.3</v>
      </c>
      <c r="B69" s="48">
        <f>$B$44</f>
        <v>4.8</v>
      </c>
      <c r="C69" s="47">
        <f aca="true" t="shared" si="21" ref="C69:L69">C$41</f>
        <v>0</v>
      </c>
      <c r="D69" s="47">
        <f t="shared" si="21"/>
        <v>8</v>
      </c>
      <c r="E69" s="47">
        <f t="shared" si="21"/>
        <v>16</v>
      </c>
      <c r="F69" s="47">
        <f t="shared" si="21"/>
        <v>24</v>
      </c>
      <c r="G69" s="47">
        <f t="shared" si="21"/>
        <v>32</v>
      </c>
      <c r="H69" s="47">
        <f t="shared" si="21"/>
        <v>40</v>
      </c>
      <c r="I69" s="47">
        <f t="shared" si="21"/>
        <v>48</v>
      </c>
      <c r="J69" s="47">
        <f t="shared" si="21"/>
        <v>56</v>
      </c>
      <c r="K69" s="47">
        <f t="shared" si="21"/>
        <v>64</v>
      </c>
      <c r="L69" s="85">
        <f t="shared" si="21"/>
        <v>72</v>
      </c>
    </row>
    <row r="70" spans="1:12" ht="12.75">
      <c r="A70" s="76" t="s">
        <v>141</v>
      </c>
      <c r="B70" s="173"/>
      <c r="C70" s="35">
        <f>MAX(0,$B69*C$53)</f>
        <v>0</v>
      </c>
      <c r="D70" s="35">
        <f aca="true" t="shared" si="22" ref="D70:L70">MAX(0,$B69*D$53)</f>
        <v>38.4</v>
      </c>
      <c r="E70" s="35">
        <f t="shared" si="22"/>
        <v>76.8</v>
      </c>
      <c r="F70" s="35">
        <f t="shared" si="22"/>
        <v>115.19999999999999</v>
      </c>
      <c r="G70" s="35">
        <f t="shared" si="22"/>
        <v>153.6</v>
      </c>
      <c r="H70" s="35">
        <f t="shared" si="22"/>
        <v>192</v>
      </c>
      <c r="I70" s="35">
        <f t="shared" si="22"/>
        <v>230.39999999999998</v>
      </c>
      <c r="J70" s="35">
        <f t="shared" si="22"/>
        <v>268.8</v>
      </c>
      <c r="K70" s="35">
        <f t="shared" si="22"/>
        <v>307.2</v>
      </c>
      <c r="L70" s="77">
        <f t="shared" si="22"/>
        <v>345.59999999999997</v>
      </c>
    </row>
    <row r="71" spans="1:12" ht="12.75">
      <c r="A71" s="78" t="str">
        <f>IF($D$200=1,"Revenue ins. - premium:",IF($D$200=2,"Yield insur. - premium:",IF($D$200=3,"APH insur. - premium:","No insurance")))</f>
        <v>Revenue ins. - premium:</v>
      </c>
      <c r="B71" s="31"/>
      <c r="C71" s="36">
        <f aca="true" t="shared" si="23" ref="C71:L71">IF($D$200=4,0,IF($D$200=1,MAX(0,$G$202-($A69*C$53)),MAX(0,$C$2*$C$7-C$53)*$C$6)-$C$8)</f>
        <v>134.39999999999998</v>
      </c>
      <c r="D71" s="36">
        <f t="shared" si="23"/>
        <v>91.99999999999997</v>
      </c>
      <c r="E71" s="36">
        <f t="shared" si="23"/>
        <v>49.59999999999998</v>
      </c>
      <c r="F71" s="36">
        <f t="shared" si="23"/>
        <v>7.199999999999989</v>
      </c>
      <c r="G71" s="36">
        <f t="shared" si="23"/>
        <v>-14</v>
      </c>
      <c r="H71" s="36">
        <f t="shared" si="23"/>
        <v>-14</v>
      </c>
      <c r="I71" s="36">
        <f t="shared" si="23"/>
        <v>-14</v>
      </c>
      <c r="J71" s="36">
        <f t="shared" si="23"/>
        <v>-14</v>
      </c>
      <c r="K71" s="36">
        <f t="shared" si="23"/>
        <v>-14</v>
      </c>
      <c r="L71" s="79">
        <f t="shared" si="23"/>
        <v>-14</v>
      </c>
    </row>
    <row r="72" spans="1:12" ht="12.75">
      <c r="A72" s="78" t="s">
        <v>218</v>
      </c>
      <c r="B72" s="31"/>
      <c r="C72" s="37">
        <f aca="true" t="shared" si="24" ref="C72:L72">($F$5-$A69)*$F$4</f>
        <v>0</v>
      </c>
      <c r="D72" s="37">
        <f t="shared" si="24"/>
        <v>0</v>
      </c>
      <c r="E72" s="37">
        <f t="shared" si="24"/>
        <v>0</v>
      </c>
      <c r="F72" s="37">
        <f t="shared" si="24"/>
        <v>0</v>
      </c>
      <c r="G72" s="37">
        <f t="shared" si="24"/>
        <v>0</v>
      </c>
      <c r="H72" s="37">
        <f t="shared" si="24"/>
        <v>0</v>
      </c>
      <c r="I72" s="37">
        <f t="shared" si="24"/>
        <v>0</v>
      </c>
      <c r="J72" s="37">
        <f t="shared" si="24"/>
        <v>0</v>
      </c>
      <c r="K72" s="37">
        <f t="shared" si="24"/>
        <v>0</v>
      </c>
      <c r="L72" s="80">
        <f t="shared" si="24"/>
        <v>0</v>
      </c>
    </row>
    <row r="73" spans="1:12" ht="12.75">
      <c r="A73" s="78" t="s">
        <v>22</v>
      </c>
      <c r="B73" s="31"/>
      <c r="C73" s="38">
        <f aca="true" t="shared" si="25" ref="C73:L73">IF($G$3&gt;0,(MAX(0,$G$5-$A69)-$G$6)*$G$4,0)</f>
        <v>0</v>
      </c>
      <c r="D73" s="38">
        <f t="shared" si="25"/>
        <v>0</v>
      </c>
      <c r="E73" s="38">
        <f t="shared" si="25"/>
        <v>0</v>
      </c>
      <c r="F73" s="38">
        <f t="shared" si="25"/>
        <v>0</v>
      </c>
      <c r="G73" s="38">
        <f t="shared" si="25"/>
        <v>0</v>
      </c>
      <c r="H73" s="38">
        <f t="shared" si="25"/>
        <v>0</v>
      </c>
      <c r="I73" s="38">
        <f t="shared" si="25"/>
        <v>0</v>
      </c>
      <c r="J73" s="38">
        <f t="shared" si="25"/>
        <v>0</v>
      </c>
      <c r="K73" s="38">
        <f t="shared" si="25"/>
        <v>0</v>
      </c>
      <c r="L73" s="81">
        <f t="shared" si="25"/>
        <v>0</v>
      </c>
    </row>
    <row r="74" spans="1:12" ht="12.75">
      <c r="A74" s="78" t="s">
        <v>23</v>
      </c>
      <c r="B74" s="31"/>
      <c r="C74" s="38">
        <f aca="true" t="shared" si="26" ref="C74:L74">IF(MIN($H$3,$H$5)&gt;0,(MAX(0,$A69-$H$5)-$H$6)*$H$4,0)</f>
        <v>0</v>
      </c>
      <c r="D74" s="38">
        <f t="shared" si="26"/>
        <v>0</v>
      </c>
      <c r="E74" s="38">
        <f t="shared" si="26"/>
        <v>0</v>
      </c>
      <c r="F74" s="38">
        <f t="shared" si="26"/>
        <v>0</v>
      </c>
      <c r="G74" s="38">
        <f t="shared" si="26"/>
        <v>0</v>
      </c>
      <c r="H74" s="38">
        <f t="shared" si="26"/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81">
        <f t="shared" si="26"/>
        <v>0</v>
      </c>
    </row>
    <row r="75" spans="1:12" ht="12.75">
      <c r="A75" s="175" t="s">
        <v>2</v>
      </c>
      <c r="B75" s="174"/>
      <c r="C75" s="172">
        <f aca="true" t="shared" si="27" ref="C75:L75">C$53*MAX(0,$C$4-$B69)</f>
        <v>0</v>
      </c>
      <c r="D75" s="172">
        <f t="shared" si="27"/>
        <v>0</v>
      </c>
      <c r="E75" s="172">
        <f t="shared" si="27"/>
        <v>0</v>
      </c>
      <c r="F75" s="172">
        <f t="shared" si="27"/>
        <v>0</v>
      </c>
      <c r="G75" s="172">
        <f t="shared" si="27"/>
        <v>0</v>
      </c>
      <c r="H75" s="172">
        <f t="shared" si="27"/>
        <v>0</v>
      </c>
      <c r="I75" s="172">
        <f t="shared" si="27"/>
        <v>0</v>
      </c>
      <c r="J75" s="172">
        <f t="shared" si="27"/>
        <v>0</v>
      </c>
      <c r="K75" s="172">
        <f t="shared" si="27"/>
        <v>0</v>
      </c>
      <c r="L75" s="176">
        <f t="shared" si="27"/>
        <v>0</v>
      </c>
    </row>
    <row r="76" spans="1:12" ht="13.5" thickBot="1">
      <c r="A76" s="82" t="s">
        <v>177</v>
      </c>
      <c r="B76" s="66"/>
      <c r="C76" s="67">
        <f aca="true" t="shared" si="28" ref="C76:L76">SUM(C70:C75)</f>
        <v>134.39999999999998</v>
      </c>
      <c r="D76" s="67">
        <f t="shared" si="28"/>
        <v>130.39999999999998</v>
      </c>
      <c r="E76" s="67">
        <f t="shared" si="28"/>
        <v>126.39999999999998</v>
      </c>
      <c r="F76" s="67">
        <f t="shared" si="28"/>
        <v>122.39999999999998</v>
      </c>
      <c r="G76" s="67">
        <f t="shared" si="28"/>
        <v>139.6</v>
      </c>
      <c r="H76" s="67">
        <f t="shared" si="28"/>
        <v>178</v>
      </c>
      <c r="I76" s="67">
        <f t="shared" si="28"/>
        <v>216.39999999999998</v>
      </c>
      <c r="J76" s="67">
        <f t="shared" si="28"/>
        <v>254.8</v>
      </c>
      <c r="K76" s="67">
        <f t="shared" si="28"/>
        <v>293.2</v>
      </c>
      <c r="L76" s="83">
        <f t="shared" si="28"/>
        <v>331.59999999999997</v>
      </c>
    </row>
    <row r="77" spans="1:12" ht="12.75">
      <c r="A77" s="84">
        <f>$A$45</f>
        <v>5.7</v>
      </c>
      <c r="B77" s="48">
        <f>$B$45</f>
        <v>5.2</v>
      </c>
      <c r="C77" s="47">
        <f aca="true" t="shared" si="29" ref="C77:L77">C$41</f>
        <v>0</v>
      </c>
      <c r="D77" s="47">
        <f t="shared" si="29"/>
        <v>8</v>
      </c>
      <c r="E77" s="47">
        <f t="shared" si="29"/>
        <v>16</v>
      </c>
      <c r="F77" s="47">
        <f t="shared" si="29"/>
        <v>24</v>
      </c>
      <c r="G77" s="47">
        <f t="shared" si="29"/>
        <v>32</v>
      </c>
      <c r="H77" s="47">
        <f t="shared" si="29"/>
        <v>40</v>
      </c>
      <c r="I77" s="47">
        <f t="shared" si="29"/>
        <v>48</v>
      </c>
      <c r="J77" s="47">
        <f t="shared" si="29"/>
        <v>56</v>
      </c>
      <c r="K77" s="47">
        <f t="shared" si="29"/>
        <v>64</v>
      </c>
      <c r="L77" s="85">
        <f t="shared" si="29"/>
        <v>72</v>
      </c>
    </row>
    <row r="78" spans="1:12" ht="12.75">
      <c r="A78" s="76" t="s">
        <v>141</v>
      </c>
      <c r="B78" s="173"/>
      <c r="C78" s="35">
        <f aca="true" t="shared" si="30" ref="C78:L78">MAX(0,$B77*C$53)</f>
        <v>0</v>
      </c>
      <c r="D78" s="35">
        <f t="shared" si="30"/>
        <v>41.6</v>
      </c>
      <c r="E78" s="35">
        <f t="shared" si="30"/>
        <v>83.2</v>
      </c>
      <c r="F78" s="35">
        <f t="shared" si="30"/>
        <v>124.80000000000001</v>
      </c>
      <c r="G78" s="35">
        <f t="shared" si="30"/>
        <v>166.4</v>
      </c>
      <c r="H78" s="35">
        <f t="shared" si="30"/>
        <v>208</v>
      </c>
      <c r="I78" s="35">
        <f t="shared" si="30"/>
        <v>249.60000000000002</v>
      </c>
      <c r="J78" s="35">
        <f t="shared" si="30"/>
        <v>291.2</v>
      </c>
      <c r="K78" s="35">
        <f t="shared" si="30"/>
        <v>332.8</v>
      </c>
      <c r="L78" s="77">
        <f t="shared" si="30"/>
        <v>374.40000000000003</v>
      </c>
    </row>
    <row r="79" spans="1:12" ht="12.75">
      <c r="A79" s="78" t="str">
        <f>IF($D$200=1,"Revenue ins. - premium:",IF($D$200=2,"Yield insur. - premium:",IF($D$200=3,"APH insur. - premium:","No insurance")))</f>
        <v>Revenue ins. - premium:</v>
      </c>
      <c r="B79" s="31"/>
      <c r="C79" s="36">
        <f aca="true" t="shared" si="31" ref="C79:L79">IF($D$200=4,0,IF($D$200=1,MAX(0,$G$203-($A77*C$53)),MAX(0,$C$2*$C$7-C$53)*$C$6)-$C$8)</f>
        <v>145.6</v>
      </c>
      <c r="D79" s="36">
        <f t="shared" si="31"/>
        <v>100</v>
      </c>
      <c r="E79" s="36">
        <f t="shared" si="31"/>
        <v>54.39999999999999</v>
      </c>
      <c r="F79" s="36">
        <f t="shared" si="31"/>
        <v>8.799999999999983</v>
      </c>
      <c r="G79" s="36">
        <f t="shared" si="31"/>
        <v>-14</v>
      </c>
      <c r="H79" s="36">
        <f t="shared" si="31"/>
        <v>-14</v>
      </c>
      <c r="I79" s="36">
        <f t="shared" si="31"/>
        <v>-14</v>
      </c>
      <c r="J79" s="36">
        <f t="shared" si="31"/>
        <v>-14</v>
      </c>
      <c r="K79" s="36">
        <f t="shared" si="31"/>
        <v>-14</v>
      </c>
      <c r="L79" s="79">
        <f t="shared" si="31"/>
        <v>-14</v>
      </c>
    </row>
    <row r="80" spans="1:12" ht="12.75">
      <c r="A80" s="78" t="s">
        <v>218</v>
      </c>
      <c r="B80" s="31"/>
      <c r="C80" s="37">
        <f aca="true" t="shared" si="32" ref="C80:L80">($F$5-$A77)*$F$4</f>
        <v>0</v>
      </c>
      <c r="D80" s="37">
        <f t="shared" si="32"/>
        <v>0</v>
      </c>
      <c r="E80" s="37">
        <f t="shared" si="32"/>
        <v>0</v>
      </c>
      <c r="F80" s="37">
        <f t="shared" si="32"/>
        <v>0</v>
      </c>
      <c r="G80" s="37">
        <f t="shared" si="32"/>
        <v>0</v>
      </c>
      <c r="H80" s="37">
        <f t="shared" si="32"/>
        <v>0</v>
      </c>
      <c r="I80" s="37">
        <f t="shared" si="32"/>
        <v>0</v>
      </c>
      <c r="J80" s="37">
        <f t="shared" si="32"/>
        <v>0</v>
      </c>
      <c r="K80" s="37">
        <f t="shared" si="32"/>
        <v>0</v>
      </c>
      <c r="L80" s="80">
        <f t="shared" si="32"/>
        <v>0</v>
      </c>
    </row>
    <row r="81" spans="1:12" ht="12.75">
      <c r="A81" s="78" t="s">
        <v>22</v>
      </c>
      <c r="B81" s="31"/>
      <c r="C81" s="38">
        <f aca="true" t="shared" si="33" ref="C81:L81">IF($G$3&gt;0,(MAX(0,$G$5-$A77)-$G$6)*$G$4,0)</f>
        <v>0</v>
      </c>
      <c r="D81" s="38">
        <f t="shared" si="33"/>
        <v>0</v>
      </c>
      <c r="E81" s="38">
        <f t="shared" si="33"/>
        <v>0</v>
      </c>
      <c r="F81" s="38">
        <f t="shared" si="33"/>
        <v>0</v>
      </c>
      <c r="G81" s="38">
        <f t="shared" si="33"/>
        <v>0</v>
      </c>
      <c r="H81" s="38">
        <f t="shared" si="33"/>
        <v>0</v>
      </c>
      <c r="I81" s="38">
        <f t="shared" si="33"/>
        <v>0</v>
      </c>
      <c r="J81" s="38">
        <f t="shared" si="33"/>
        <v>0</v>
      </c>
      <c r="K81" s="38">
        <f t="shared" si="33"/>
        <v>0</v>
      </c>
      <c r="L81" s="81">
        <f t="shared" si="33"/>
        <v>0</v>
      </c>
    </row>
    <row r="82" spans="1:12" ht="12.75">
      <c r="A82" s="78" t="s">
        <v>23</v>
      </c>
      <c r="B82" s="31"/>
      <c r="C82" s="38">
        <f aca="true" t="shared" si="34" ref="C82:L82">IF(MIN($H$3,$H$5)&gt;0,(MAX(0,$A77-$H$5)-$H$6)*$H$4,0)</f>
        <v>0</v>
      </c>
      <c r="D82" s="38">
        <f t="shared" si="34"/>
        <v>0</v>
      </c>
      <c r="E82" s="38">
        <f t="shared" si="34"/>
        <v>0</v>
      </c>
      <c r="F82" s="38">
        <f t="shared" si="34"/>
        <v>0</v>
      </c>
      <c r="G82" s="38">
        <f t="shared" si="34"/>
        <v>0</v>
      </c>
      <c r="H82" s="38">
        <f t="shared" si="34"/>
        <v>0</v>
      </c>
      <c r="I82" s="38">
        <f t="shared" si="34"/>
        <v>0</v>
      </c>
      <c r="J82" s="38">
        <f t="shared" si="34"/>
        <v>0</v>
      </c>
      <c r="K82" s="38">
        <f t="shared" si="34"/>
        <v>0</v>
      </c>
      <c r="L82" s="81">
        <f t="shared" si="34"/>
        <v>0</v>
      </c>
    </row>
    <row r="83" spans="1:12" ht="12.75">
      <c r="A83" s="175" t="s">
        <v>2</v>
      </c>
      <c r="B83" s="174"/>
      <c r="C83" s="172">
        <f aca="true" t="shared" si="35" ref="C83:L83">C$53*MAX(0,$C$4-$B77)</f>
        <v>0</v>
      </c>
      <c r="D83" s="172">
        <f t="shared" si="35"/>
        <v>0</v>
      </c>
      <c r="E83" s="172">
        <f t="shared" si="35"/>
        <v>0</v>
      </c>
      <c r="F83" s="172">
        <f t="shared" si="35"/>
        <v>0</v>
      </c>
      <c r="G83" s="172">
        <f t="shared" si="35"/>
        <v>0</v>
      </c>
      <c r="H83" s="172">
        <f t="shared" si="35"/>
        <v>0</v>
      </c>
      <c r="I83" s="172">
        <f t="shared" si="35"/>
        <v>0</v>
      </c>
      <c r="J83" s="172">
        <f t="shared" si="35"/>
        <v>0</v>
      </c>
      <c r="K83" s="172">
        <f t="shared" si="35"/>
        <v>0</v>
      </c>
      <c r="L83" s="176">
        <f t="shared" si="35"/>
        <v>0</v>
      </c>
    </row>
    <row r="84" spans="1:12" ht="13.5" thickBot="1">
      <c r="A84" s="82" t="s">
        <v>177</v>
      </c>
      <c r="B84" s="66"/>
      <c r="C84" s="67">
        <f aca="true" t="shared" si="36" ref="C84:L84">SUM(C78:C83)</f>
        <v>145.6</v>
      </c>
      <c r="D84" s="67">
        <f t="shared" si="36"/>
        <v>141.6</v>
      </c>
      <c r="E84" s="67">
        <f t="shared" si="36"/>
        <v>137.6</v>
      </c>
      <c r="F84" s="67">
        <f t="shared" si="36"/>
        <v>133.6</v>
      </c>
      <c r="G84" s="67">
        <f t="shared" si="36"/>
        <v>152.4</v>
      </c>
      <c r="H84" s="67">
        <f t="shared" si="36"/>
        <v>194</v>
      </c>
      <c r="I84" s="67">
        <f t="shared" si="36"/>
        <v>235.60000000000002</v>
      </c>
      <c r="J84" s="67">
        <f t="shared" si="36"/>
        <v>277.2</v>
      </c>
      <c r="K84" s="67">
        <f t="shared" si="36"/>
        <v>318.8</v>
      </c>
      <c r="L84" s="83">
        <f t="shared" si="36"/>
        <v>360.40000000000003</v>
      </c>
    </row>
    <row r="85" spans="1:12" ht="12.75">
      <c r="A85" s="84">
        <f>$A$46</f>
        <v>6.1</v>
      </c>
      <c r="B85" s="48">
        <f>$B$46</f>
        <v>5.6</v>
      </c>
      <c r="C85" s="47">
        <f aca="true" t="shared" si="37" ref="C85:L85">C$41</f>
        <v>0</v>
      </c>
      <c r="D85" s="47">
        <f t="shared" si="37"/>
        <v>8</v>
      </c>
      <c r="E85" s="47">
        <f t="shared" si="37"/>
        <v>16</v>
      </c>
      <c r="F85" s="47">
        <f t="shared" si="37"/>
        <v>24</v>
      </c>
      <c r="G85" s="47">
        <f t="shared" si="37"/>
        <v>32</v>
      </c>
      <c r="H85" s="47">
        <f t="shared" si="37"/>
        <v>40</v>
      </c>
      <c r="I85" s="47">
        <f t="shared" si="37"/>
        <v>48</v>
      </c>
      <c r="J85" s="47">
        <f t="shared" si="37"/>
        <v>56</v>
      </c>
      <c r="K85" s="47">
        <f t="shared" si="37"/>
        <v>64</v>
      </c>
      <c r="L85" s="85">
        <f t="shared" si="37"/>
        <v>72</v>
      </c>
    </row>
    <row r="86" spans="1:12" ht="12.75">
      <c r="A86" s="76" t="s">
        <v>141</v>
      </c>
      <c r="B86" s="173"/>
      <c r="C86" s="35">
        <f aca="true" t="shared" si="38" ref="C86:L86">MAX(0,$B85*C$53)</f>
        <v>0</v>
      </c>
      <c r="D86" s="35">
        <f t="shared" si="38"/>
        <v>44.8</v>
      </c>
      <c r="E86" s="35">
        <f t="shared" si="38"/>
        <v>89.6</v>
      </c>
      <c r="F86" s="35">
        <f t="shared" si="38"/>
        <v>134.39999999999998</v>
      </c>
      <c r="G86" s="35">
        <f t="shared" si="38"/>
        <v>179.2</v>
      </c>
      <c r="H86" s="35">
        <f t="shared" si="38"/>
        <v>224</v>
      </c>
      <c r="I86" s="35">
        <f t="shared" si="38"/>
        <v>268.79999999999995</v>
      </c>
      <c r="J86" s="35">
        <f t="shared" si="38"/>
        <v>313.59999999999997</v>
      </c>
      <c r="K86" s="35">
        <f t="shared" si="38"/>
        <v>358.4</v>
      </c>
      <c r="L86" s="77">
        <f t="shared" si="38"/>
        <v>403.2</v>
      </c>
    </row>
    <row r="87" spans="1:12" ht="12.75">
      <c r="A87" s="78" t="str">
        <f>IF($D$200=1,"Revenue ins. - premium:",IF($D$200=2,"Yield insur. - premium:",IF($D$200=3,"APH insur. - premium:","No insurance")))</f>
        <v>Revenue ins. - premium:</v>
      </c>
      <c r="B87" s="31"/>
      <c r="C87" s="36">
        <f aca="true" t="shared" si="39" ref="C87:L87">IF($D$200=4,0,IF($D$200=1,MAX(0,$G$204-($A85*C$53)),MAX(0,$C$2*$C$7-C$53)*$C$6)-$C$8)</f>
        <v>156.79999999999998</v>
      </c>
      <c r="D87" s="36">
        <f t="shared" si="39"/>
        <v>107.99999999999999</v>
      </c>
      <c r="E87" s="36">
        <f t="shared" si="39"/>
        <v>59.19999999999999</v>
      </c>
      <c r="F87" s="36">
        <f t="shared" si="39"/>
        <v>10.400000000000006</v>
      </c>
      <c r="G87" s="36">
        <f t="shared" si="39"/>
        <v>-14</v>
      </c>
      <c r="H87" s="36">
        <f t="shared" si="39"/>
        <v>-14</v>
      </c>
      <c r="I87" s="36">
        <f t="shared" si="39"/>
        <v>-14</v>
      </c>
      <c r="J87" s="36">
        <f t="shared" si="39"/>
        <v>-14</v>
      </c>
      <c r="K87" s="36">
        <f t="shared" si="39"/>
        <v>-14</v>
      </c>
      <c r="L87" s="79">
        <f t="shared" si="39"/>
        <v>-14</v>
      </c>
    </row>
    <row r="88" spans="1:12" ht="12.75">
      <c r="A88" s="78" t="s">
        <v>218</v>
      </c>
      <c r="B88" s="31"/>
      <c r="C88" s="37">
        <f aca="true" t="shared" si="40" ref="C88:L88">($F$5-$A85)*$F$4</f>
        <v>0</v>
      </c>
      <c r="D88" s="37">
        <f t="shared" si="40"/>
        <v>0</v>
      </c>
      <c r="E88" s="37">
        <f t="shared" si="40"/>
        <v>0</v>
      </c>
      <c r="F88" s="37">
        <f t="shared" si="40"/>
        <v>0</v>
      </c>
      <c r="G88" s="37">
        <f t="shared" si="40"/>
        <v>0</v>
      </c>
      <c r="H88" s="37">
        <f t="shared" si="40"/>
        <v>0</v>
      </c>
      <c r="I88" s="37">
        <f t="shared" si="40"/>
        <v>0</v>
      </c>
      <c r="J88" s="37">
        <f t="shared" si="40"/>
        <v>0</v>
      </c>
      <c r="K88" s="37">
        <f t="shared" si="40"/>
        <v>0</v>
      </c>
      <c r="L88" s="80">
        <f t="shared" si="40"/>
        <v>0</v>
      </c>
    </row>
    <row r="89" spans="1:12" ht="12.75">
      <c r="A89" s="78" t="s">
        <v>22</v>
      </c>
      <c r="B89" s="31"/>
      <c r="C89" s="38">
        <f aca="true" t="shared" si="41" ref="C89:L89">IF($G$3&gt;0,(MAX(0,$G$5-$A85)-$G$6)*$G$4,0)</f>
        <v>0</v>
      </c>
      <c r="D89" s="38">
        <f t="shared" si="41"/>
        <v>0</v>
      </c>
      <c r="E89" s="38">
        <f t="shared" si="41"/>
        <v>0</v>
      </c>
      <c r="F89" s="38">
        <f t="shared" si="41"/>
        <v>0</v>
      </c>
      <c r="G89" s="38">
        <f t="shared" si="41"/>
        <v>0</v>
      </c>
      <c r="H89" s="38">
        <f t="shared" si="41"/>
        <v>0</v>
      </c>
      <c r="I89" s="38">
        <f t="shared" si="41"/>
        <v>0</v>
      </c>
      <c r="J89" s="38">
        <f t="shared" si="41"/>
        <v>0</v>
      </c>
      <c r="K89" s="38">
        <f t="shared" si="41"/>
        <v>0</v>
      </c>
      <c r="L89" s="81">
        <f t="shared" si="41"/>
        <v>0</v>
      </c>
    </row>
    <row r="90" spans="1:12" ht="12.75">
      <c r="A90" s="78" t="s">
        <v>23</v>
      </c>
      <c r="B90" s="31"/>
      <c r="C90" s="38">
        <f aca="true" t="shared" si="42" ref="C90:L90">IF(MIN($H$3,$H$5)&gt;0,(MAX(0,$A85-$H$5)-$H$6)*$H$4,0)</f>
        <v>0</v>
      </c>
      <c r="D90" s="38">
        <f t="shared" si="42"/>
        <v>0</v>
      </c>
      <c r="E90" s="38">
        <f t="shared" si="42"/>
        <v>0</v>
      </c>
      <c r="F90" s="38">
        <f t="shared" si="42"/>
        <v>0</v>
      </c>
      <c r="G90" s="38">
        <f t="shared" si="42"/>
        <v>0</v>
      </c>
      <c r="H90" s="38">
        <f t="shared" si="42"/>
        <v>0</v>
      </c>
      <c r="I90" s="38">
        <f t="shared" si="42"/>
        <v>0</v>
      </c>
      <c r="J90" s="38">
        <f t="shared" si="42"/>
        <v>0</v>
      </c>
      <c r="K90" s="38">
        <f t="shared" si="42"/>
        <v>0</v>
      </c>
      <c r="L90" s="81">
        <f t="shared" si="42"/>
        <v>0</v>
      </c>
    </row>
    <row r="91" spans="1:12" ht="12.75">
      <c r="A91" s="175" t="s">
        <v>2</v>
      </c>
      <c r="B91" s="174"/>
      <c r="C91" s="172">
        <f aca="true" t="shared" si="43" ref="C91:L91">C$53*MAX(0,$C$4-$B85)</f>
        <v>0</v>
      </c>
      <c r="D91" s="172">
        <f t="shared" si="43"/>
        <v>0</v>
      </c>
      <c r="E91" s="172">
        <f t="shared" si="43"/>
        <v>0</v>
      </c>
      <c r="F91" s="172">
        <f t="shared" si="43"/>
        <v>0</v>
      </c>
      <c r="G91" s="172">
        <f t="shared" si="43"/>
        <v>0</v>
      </c>
      <c r="H91" s="172">
        <f t="shared" si="43"/>
        <v>0</v>
      </c>
      <c r="I91" s="172">
        <f t="shared" si="43"/>
        <v>0</v>
      </c>
      <c r="J91" s="172">
        <f t="shared" si="43"/>
        <v>0</v>
      </c>
      <c r="K91" s="172">
        <f t="shared" si="43"/>
        <v>0</v>
      </c>
      <c r="L91" s="176">
        <f t="shared" si="43"/>
        <v>0</v>
      </c>
    </row>
    <row r="92" spans="1:12" ht="13.5" thickBot="1">
      <c r="A92" s="82" t="s">
        <v>177</v>
      </c>
      <c r="B92" s="66"/>
      <c r="C92" s="67">
        <f aca="true" t="shared" si="44" ref="C92:L92">SUM(C86:C91)</f>
        <v>156.79999999999998</v>
      </c>
      <c r="D92" s="67">
        <f t="shared" si="44"/>
        <v>152.79999999999998</v>
      </c>
      <c r="E92" s="67">
        <f t="shared" si="44"/>
        <v>148.79999999999998</v>
      </c>
      <c r="F92" s="67">
        <f t="shared" si="44"/>
        <v>144.79999999999998</v>
      </c>
      <c r="G92" s="67">
        <f t="shared" si="44"/>
        <v>165.2</v>
      </c>
      <c r="H92" s="67">
        <f t="shared" si="44"/>
        <v>210</v>
      </c>
      <c r="I92" s="67">
        <f t="shared" si="44"/>
        <v>254.79999999999995</v>
      </c>
      <c r="J92" s="67">
        <f t="shared" si="44"/>
        <v>299.59999999999997</v>
      </c>
      <c r="K92" s="67">
        <f t="shared" si="44"/>
        <v>344.4</v>
      </c>
      <c r="L92" s="83">
        <f t="shared" si="44"/>
        <v>389.2</v>
      </c>
    </row>
    <row r="93" spans="1:10" ht="12.75">
      <c r="A93" s="178" t="s">
        <v>245</v>
      </c>
      <c r="D93" s="28"/>
      <c r="E93" s="28"/>
      <c r="F93" s="28"/>
      <c r="G93" s="28"/>
      <c r="H93" s="28"/>
      <c r="I93" s="28"/>
      <c r="J93" s="28"/>
    </row>
    <row r="94" spans="1:12" ht="12.75">
      <c r="A94" s="207" t="str">
        <f>CONCATENATE(" contracts.  Basis is assumed to be constant at your $",C3," entry.")</f>
        <v> contracts.  Basis is assumed to be constant at your $-0.5 entry.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  <row r="95" ht="12.75">
      <c r="A95" s="178"/>
    </row>
    <row r="96" ht="12.75">
      <c r="A96" s="28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6" ht="12.75">
      <c r="C196" s="36"/>
    </row>
    <row r="198" spans="1:6" ht="12.75">
      <c r="A198" s="113" t="s">
        <v>187</v>
      </c>
      <c r="B198" s="101"/>
      <c r="C198" s="101"/>
      <c r="D198" s="114"/>
      <c r="F198" s="33" t="s">
        <v>186</v>
      </c>
    </row>
    <row r="199" spans="1:11" ht="12.75">
      <c r="A199" s="93" t="s">
        <v>188</v>
      </c>
      <c r="B199" s="199" t="s">
        <v>238</v>
      </c>
      <c r="C199" s="31" t="s">
        <v>189</v>
      </c>
      <c r="D199" s="111"/>
      <c r="F199" s="124" t="s">
        <v>176</v>
      </c>
      <c r="G199" s="113" t="s">
        <v>212</v>
      </c>
      <c r="H199" s="101"/>
      <c r="I199" s="101"/>
      <c r="J199" s="101"/>
      <c r="K199" s="114"/>
    </row>
    <row r="200" spans="1:11" ht="12.75">
      <c r="A200" s="115" t="s">
        <v>170</v>
      </c>
      <c r="B200" s="92">
        <v>1</v>
      </c>
      <c r="C200" s="28" t="s">
        <v>175</v>
      </c>
      <c r="D200" s="111">
        <f>IF(C5=A200,1,IF(C5=A201,2,IF(C5=A202,3,4)))</f>
        <v>1</v>
      </c>
      <c r="F200" s="122">
        <f>A42</f>
        <v>4.5</v>
      </c>
      <c r="G200" s="125">
        <f>IF($D$200=1,MAX(MIN($F200,2*$C$6),$C$6)*$C$2*$C$7,0)</f>
        <v>143.64</v>
      </c>
      <c r="H200" s="34"/>
      <c r="I200" s="34"/>
      <c r="J200" s="34"/>
      <c r="K200" s="110"/>
    </row>
    <row r="201" spans="1:11" ht="12.75">
      <c r="A201" s="115" t="s">
        <v>0</v>
      </c>
      <c r="B201" s="92">
        <v>2</v>
      </c>
      <c r="C201" s="28"/>
      <c r="D201" s="111"/>
      <c r="F201" s="122">
        <f>A43</f>
        <v>4.9</v>
      </c>
      <c r="G201" s="126">
        <f>IF($D$200=1,MAX(MIN($F201,2*$C$6),$C$6)*$C$2*$C$7,0)</f>
        <v>143.64</v>
      </c>
      <c r="H201" s="28"/>
      <c r="I201" s="28"/>
      <c r="J201" s="28"/>
      <c r="K201" s="111"/>
    </row>
    <row r="202" spans="1:11" ht="12.75">
      <c r="A202" s="116" t="s">
        <v>143</v>
      </c>
      <c r="B202" s="92">
        <v>3</v>
      </c>
      <c r="C202" s="28"/>
      <c r="D202" s="111"/>
      <c r="F202" s="122">
        <f>A44</f>
        <v>5.3</v>
      </c>
      <c r="G202" s="126">
        <f>IF($D$200=1,MAX(MIN($F202,2*$C$6),$C$6)*$C$2*$C$7,0)</f>
        <v>148.39999999999998</v>
      </c>
      <c r="H202" s="28"/>
      <c r="I202" s="28"/>
      <c r="J202" s="28"/>
      <c r="K202" s="111"/>
    </row>
    <row r="203" spans="1:11" ht="12.75">
      <c r="A203" s="117" t="s">
        <v>181</v>
      </c>
      <c r="B203" s="118">
        <v>4</v>
      </c>
      <c r="C203" s="22"/>
      <c r="D203" s="112"/>
      <c r="F203" s="122">
        <f>A45</f>
        <v>5.7</v>
      </c>
      <c r="G203" s="126">
        <f>IF($D$200=1,MAX(MIN($F203,2*$C$6),$C$6)*$C$2*$C$7,0)</f>
        <v>159.6</v>
      </c>
      <c r="H203" s="28"/>
      <c r="I203" s="28"/>
      <c r="J203" s="28"/>
      <c r="K203" s="111"/>
    </row>
    <row r="204" spans="6:11" ht="12.75">
      <c r="F204" s="123">
        <f>A46</f>
        <v>6.1</v>
      </c>
      <c r="G204" s="127">
        <f>IF($D$200=1,MAX(MIN($F204,2*$C$6),$C$6)*$C$2*$C$7,0)</f>
        <v>170.79999999999998</v>
      </c>
      <c r="H204" s="22"/>
      <c r="I204" s="22"/>
      <c r="J204" s="22"/>
      <c r="K204" s="112"/>
    </row>
    <row r="205" spans="1:11" ht="12.75">
      <c r="A205" s="121" t="s">
        <v>184</v>
      </c>
      <c r="B205" s="114"/>
      <c r="F205" s="64" t="s">
        <v>210</v>
      </c>
      <c r="G205" s="64"/>
      <c r="H205" s="65"/>
      <c r="I205" s="65"/>
      <c r="J205" s="65"/>
      <c r="K205" s="65"/>
    </row>
    <row r="206" spans="1:11" ht="12.75">
      <c r="A206" s="119">
        <v>0.5</v>
      </c>
      <c r="B206" s="111"/>
      <c r="C206" s="36"/>
      <c r="F206" s="65"/>
      <c r="G206" s="65"/>
      <c r="H206" s="64" t="s">
        <v>211</v>
      </c>
      <c r="I206" s="65"/>
      <c r="J206" s="65"/>
      <c r="K206" s="65"/>
    </row>
    <row r="207" spans="1:2" ht="12.75">
      <c r="A207" s="119">
        <v>0.55</v>
      </c>
      <c r="B207" s="111"/>
    </row>
    <row r="208" spans="1:2" ht="12.75">
      <c r="A208" s="119">
        <v>0.6</v>
      </c>
      <c r="B208" s="111"/>
    </row>
    <row r="209" spans="1:2" ht="12.75">
      <c r="A209" s="119">
        <v>0.65</v>
      </c>
      <c r="B209" s="111"/>
    </row>
    <row r="210" spans="1:2" ht="12.75">
      <c r="A210" s="119">
        <v>0.7</v>
      </c>
      <c r="B210" s="111"/>
    </row>
    <row r="211" spans="1:2" ht="12.75">
      <c r="A211" s="119">
        <v>0.75</v>
      </c>
      <c r="B211" s="111"/>
    </row>
    <row r="212" spans="1:2" ht="12.75">
      <c r="A212" s="119">
        <v>0.8</v>
      </c>
      <c r="B212" s="111"/>
    </row>
    <row r="213" spans="1:2" ht="12.75">
      <c r="A213" s="120">
        <v>0.85</v>
      </c>
      <c r="B213" s="112"/>
    </row>
  </sheetData>
  <sheetProtection password="C93F" sheet="1"/>
  <mergeCells count="3">
    <mergeCell ref="A40:B40"/>
    <mergeCell ref="A51:B51"/>
    <mergeCell ref="K2:L2"/>
  </mergeCells>
  <conditionalFormatting sqref="B8">
    <cfRule type="cellIs" priority="11" dxfId="0" operator="equal" stopIfTrue="1">
      <formula>1</formula>
    </cfRule>
  </conditionalFormatting>
  <conditionalFormatting sqref="A8">
    <cfRule type="expression" priority="15" dxfId="0" stopIfTrue="1">
      <formula>B8=1</formula>
    </cfRule>
  </conditionalFormatting>
  <conditionalFormatting sqref="C42:L46">
    <cfRule type="cellIs" priority="27" dxfId="9" operator="lessThan" stopIfTrue="1">
      <formula>QUARTILE($C$42:$L$46,1)</formula>
    </cfRule>
    <cfRule type="cellIs" priority="28" dxfId="8" operator="greaterThan" stopIfTrue="1">
      <formula>QUARTILE($C$42:$L$46,3)</formula>
    </cfRule>
  </conditionalFormatting>
  <conditionalFormatting sqref="C7">
    <cfRule type="expression" priority="31" dxfId="0" stopIfTrue="1">
      <formula>$D$6=1</formula>
    </cfRule>
  </conditionalFormatting>
  <conditionalFormatting sqref="C6">
    <cfRule type="expression" priority="33" dxfId="0" stopIfTrue="1">
      <formula>B10=1</formula>
    </cfRule>
  </conditionalFormatting>
  <conditionalFormatting sqref="C8">
    <cfRule type="expression" priority="35" dxfId="0" stopIfTrue="1">
      <formula>B10=1</formula>
    </cfRule>
  </conditionalFormatting>
  <conditionalFormatting sqref="F1:F5">
    <cfRule type="expression" priority="4" dxfId="0" stopIfTrue="1">
      <formula>$F$3&gt;0</formula>
    </cfRule>
  </conditionalFormatting>
  <conditionalFormatting sqref="G1:G6">
    <cfRule type="expression" priority="3" dxfId="0" stopIfTrue="1">
      <formula>$G$3&gt;0</formula>
    </cfRule>
  </conditionalFormatting>
  <conditionalFormatting sqref="H1:H6">
    <cfRule type="expression" priority="2" dxfId="0" stopIfTrue="1">
      <formula>$H$3&gt;0</formula>
    </cfRule>
  </conditionalFormatting>
  <conditionalFormatting sqref="D9">
    <cfRule type="expression" priority="67" dxfId="0" stopIfTrue="1">
      <formula>B8=1</formula>
    </cfRule>
  </conditionalFormatting>
  <conditionalFormatting sqref="C5">
    <cfRule type="expression" priority="68" dxfId="0" stopIfTrue="1">
      <formula>D6=1</formula>
    </cfRule>
  </conditionalFormatting>
  <dataValidations count="2">
    <dataValidation type="list" allowBlank="1" showInputMessage="1" showErrorMessage="1" sqref="C5">
      <formula1>Insurance</formula1>
    </dataValidation>
    <dataValidation type="list" allowBlank="1" showInputMessage="1" showErrorMessage="1" sqref="C7">
      <formula1>Coverage</formula1>
    </dataValidation>
  </dataValidations>
  <printOptions/>
  <pageMargins left="0.75" right="0.25" top="1" bottom="1" header="0.5" footer="0.5"/>
  <pageSetup fitToHeight="2" horizontalDpi="360" verticalDpi="360" orientation="portrait" scale="85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9.421875" style="8" customWidth="1"/>
    <col min="2" max="2" width="5.00390625" style="8" customWidth="1"/>
    <col min="3" max="6" width="10.7109375" style="8" customWidth="1"/>
    <col min="7" max="8" width="8.7109375" style="8" customWidth="1"/>
    <col min="9" max="16384" width="9.140625" style="8" customWidth="1"/>
  </cols>
  <sheetData>
    <row r="1" ht="15.75" customHeight="1"/>
    <row r="2" ht="14.25" customHeight="1"/>
    <row r="3" spans="1:6" s="130" customFormat="1" ht="15.75" customHeight="1" thickBot="1">
      <c r="A3" s="128" t="s">
        <v>255</v>
      </c>
      <c r="B3" s="129"/>
      <c r="C3" s="129"/>
      <c r="D3" s="129"/>
      <c r="E3" s="129"/>
      <c r="F3" s="129"/>
    </row>
    <row r="4" spans="1:6" s="130" customFormat="1" ht="15.75" customHeight="1">
      <c r="A4" s="131"/>
      <c r="B4" s="132"/>
      <c r="C4" s="133"/>
      <c r="D4" s="153" t="s">
        <v>0</v>
      </c>
      <c r="E4" s="134" t="s">
        <v>164</v>
      </c>
      <c r="F4" s="135"/>
    </row>
    <row r="5" spans="1:6" s="130" customFormat="1" ht="15.75" customHeight="1" thickBot="1">
      <c r="A5" s="147" t="s">
        <v>12</v>
      </c>
      <c r="B5" s="136"/>
      <c r="C5" s="155" t="s">
        <v>151</v>
      </c>
      <c r="D5" s="154" t="s">
        <v>165</v>
      </c>
      <c r="E5" s="159" t="s">
        <v>163</v>
      </c>
      <c r="F5" s="160" t="s">
        <v>16</v>
      </c>
    </row>
    <row r="6" spans="1:6" s="130" customFormat="1" ht="15.75" customHeight="1">
      <c r="A6" s="156" t="s">
        <v>92</v>
      </c>
      <c r="B6" s="157" t="s">
        <v>87</v>
      </c>
      <c r="C6" s="208">
        <v>0</v>
      </c>
      <c r="D6" s="158">
        <v>5.13</v>
      </c>
      <c r="E6" s="158">
        <v>5.13</v>
      </c>
      <c r="F6" s="229" t="s">
        <v>166</v>
      </c>
    </row>
    <row r="7" spans="1:6" s="130" customFormat="1" ht="15.75" customHeight="1">
      <c r="A7" s="137" t="s">
        <v>94</v>
      </c>
      <c r="B7" s="143" t="s">
        <v>87</v>
      </c>
      <c r="C7" s="209">
        <v>0</v>
      </c>
      <c r="D7" s="144">
        <v>5.13</v>
      </c>
      <c r="E7" s="144">
        <v>5.13</v>
      </c>
      <c r="F7" s="230" t="s">
        <v>166</v>
      </c>
    </row>
    <row r="8" spans="1:6" s="130" customFormat="1" ht="15.75" customHeight="1">
      <c r="A8" s="138" t="s">
        <v>79</v>
      </c>
      <c r="B8" s="139" t="s">
        <v>87</v>
      </c>
      <c r="C8" s="209">
        <v>0</v>
      </c>
      <c r="D8" s="145">
        <v>5.72</v>
      </c>
      <c r="E8" s="145">
        <v>5.72</v>
      </c>
      <c r="F8" s="142" t="s">
        <v>166</v>
      </c>
    </row>
    <row r="9" spans="1:6" s="130" customFormat="1" ht="15.75" customHeight="1">
      <c r="A9" s="137" t="s">
        <v>145</v>
      </c>
      <c r="B9" s="143" t="s">
        <v>87</v>
      </c>
      <c r="C9" s="209">
        <v>0</v>
      </c>
      <c r="D9" s="144">
        <v>3.31</v>
      </c>
      <c r="E9" s="144">
        <v>3.31</v>
      </c>
      <c r="F9" s="142" t="s">
        <v>166</v>
      </c>
    </row>
    <row r="10" spans="1:6" s="130" customFormat="1" ht="15.75" customHeight="1">
      <c r="A10" s="138" t="s">
        <v>146</v>
      </c>
      <c r="B10" s="139" t="s">
        <v>87</v>
      </c>
      <c r="C10" s="209">
        <v>0</v>
      </c>
      <c r="D10" s="141">
        <v>3.86</v>
      </c>
      <c r="E10" s="141">
        <v>3.86</v>
      </c>
      <c r="F10" s="142" t="s">
        <v>166</v>
      </c>
    </row>
    <row r="11" spans="1:6" s="130" customFormat="1" ht="15.75" customHeight="1">
      <c r="A11" s="137" t="s">
        <v>91</v>
      </c>
      <c r="B11" s="136" t="s">
        <v>87</v>
      </c>
      <c r="C11" s="209">
        <v>0</v>
      </c>
      <c r="D11" s="144">
        <v>8.85</v>
      </c>
      <c r="E11" s="144">
        <v>8.85</v>
      </c>
      <c r="F11" s="142" t="s">
        <v>166</v>
      </c>
    </row>
    <row r="12" spans="1:6" s="130" customFormat="1" ht="15.75" customHeight="1">
      <c r="A12" s="138" t="s">
        <v>84</v>
      </c>
      <c r="B12" s="139" t="s">
        <v>88</v>
      </c>
      <c r="C12" s="209">
        <v>0</v>
      </c>
      <c r="D12" s="146">
        <v>0.158</v>
      </c>
      <c r="E12" s="146">
        <v>0.158</v>
      </c>
      <c r="F12" s="142" t="s">
        <v>166</v>
      </c>
    </row>
    <row r="13" spans="1:6" s="130" customFormat="1" ht="15.75" customHeight="1">
      <c r="A13" s="137" t="s">
        <v>93</v>
      </c>
      <c r="B13" s="143" t="s">
        <v>88</v>
      </c>
      <c r="C13" s="209">
        <v>0</v>
      </c>
      <c r="D13" s="147">
        <v>0.169</v>
      </c>
      <c r="E13" s="147">
        <v>0.169</v>
      </c>
      <c r="F13" s="142" t="s">
        <v>166</v>
      </c>
    </row>
    <row r="14" spans="1:6" s="130" customFormat="1" ht="15.75" customHeight="1">
      <c r="A14" s="138" t="s">
        <v>144</v>
      </c>
      <c r="B14" s="148" t="s">
        <v>88</v>
      </c>
      <c r="C14" s="209">
        <v>0</v>
      </c>
      <c r="D14" s="146">
        <v>0.267</v>
      </c>
      <c r="E14" s="146">
        <v>0.265</v>
      </c>
      <c r="F14" s="142" t="s">
        <v>166</v>
      </c>
    </row>
    <row r="15" spans="1:6" s="130" customFormat="1" ht="15.75" customHeight="1">
      <c r="A15" s="137" t="s">
        <v>83</v>
      </c>
      <c r="B15" s="143" t="s">
        <v>87</v>
      </c>
      <c r="C15" s="210">
        <v>8.2</v>
      </c>
      <c r="D15" s="212">
        <v>0</v>
      </c>
      <c r="E15" s="161">
        <v>0</v>
      </c>
      <c r="F15" s="140">
        <v>0</v>
      </c>
    </row>
    <row r="16" spans="1:6" s="130" customFormat="1" ht="15.75" customHeight="1">
      <c r="A16" s="149" t="s">
        <v>97</v>
      </c>
      <c r="B16" s="139" t="s">
        <v>88</v>
      </c>
      <c r="C16" s="209">
        <v>0</v>
      </c>
      <c r="D16" s="213">
        <v>0.22</v>
      </c>
      <c r="E16" s="231">
        <v>0.22</v>
      </c>
      <c r="F16" s="142" t="s">
        <v>166</v>
      </c>
    </row>
    <row r="17" spans="1:6" s="130" customFormat="1" ht="15.75" customHeight="1">
      <c r="A17" s="150" t="s">
        <v>96</v>
      </c>
      <c r="B17" s="143" t="s">
        <v>88</v>
      </c>
      <c r="C17" s="209">
        <v>0</v>
      </c>
      <c r="D17" s="214">
        <v>0.22</v>
      </c>
      <c r="E17" s="231">
        <v>0.22</v>
      </c>
      <c r="F17" s="142" t="s">
        <v>166</v>
      </c>
    </row>
    <row r="18" spans="1:6" s="130" customFormat="1" ht="15.75" customHeight="1">
      <c r="A18" s="138" t="s">
        <v>89</v>
      </c>
      <c r="B18" s="139" t="s">
        <v>88</v>
      </c>
      <c r="C18" s="209">
        <v>0</v>
      </c>
      <c r="D18" s="213">
        <v>0.11</v>
      </c>
      <c r="E18" s="231">
        <v>0.11</v>
      </c>
      <c r="F18" s="142" t="s">
        <v>166</v>
      </c>
    </row>
    <row r="19" spans="1:6" s="130" customFormat="1" ht="15.75" customHeight="1">
      <c r="A19" s="137" t="s">
        <v>82</v>
      </c>
      <c r="B19" s="143" t="s">
        <v>87</v>
      </c>
      <c r="C19" s="210">
        <v>2.4</v>
      </c>
      <c r="D19" s="212">
        <v>0</v>
      </c>
      <c r="E19" s="161">
        <v>0</v>
      </c>
      <c r="F19" s="140">
        <v>0</v>
      </c>
    </row>
    <row r="20" spans="1:6" s="130" customFormat="1" ht="15.75" customHeight="1">
      <c r="A20" s="138" t="s">
        <v>147</v>
      </c>
      <c r="B20" s="139" t="s">
        <v>87</v>
      </c>
      <c r="C20" s="210">
        <v>3.67</v>
      </c>
      <c r="D20" s="212">
        <v>0</v>
      </c>
      <c r="E20" s="161">
        <v>0</v>
      </c>
      <c r="F20" s="140">
        <v>0</v>
      </c>
    </row>
    <row r="21" spans="1:6" s="130" customFormat="1" ht="15.75" customHeight="1">
      <c r="A21" s="137" t="s">
        <v>90</v>
      </c>
      <c r="B21" s="143" t="s">
        <v>87</v>
      </c>
      <c r="C21" s="210">
        <v>6.05</v>
      </c>
      <c r="D21" s="212">
        <v>0</v>
      </c>
      <c r="E21" s="161">
        <v>0</v>
      </c>
      <c r="F21" s="140">
        <v>0</v>
      </c>
    </row>
    <row r="22" spans="1:6" s="130" customFormat="1" ht="15.75" customHeight="1">
      <c r="A22" s="138" t="s">
        <v>148</v>
      </c>
      <c r="B22" s="139" t="s">
        <v>88</v>
      </c>
      <c r="C22" s="233">
        <v>0.244</v>
      </c>
      <c r="D22" s="212">
        <v>0</v>
      </c>
      <c r="E22" s="161">
        <v>0</v>
      </c>
      <c r="F22" s="140">
        <v>0</v>
      </c>
    </row>
    <row r="23" spans="1:6" s="130" customFormat="1" ht="15.75" customHeight="1">
      <c r="A23" s="138" t="s">
        <v>149</v>
      </c>
      <c r="B23" s="139" t="s">
        <v>88</v>
      </c>
      <c r="C23" s="209">
        <v>0</v>
      </c>
      <c r="D23" s="213">
        <v>0.26</v>
      </c>
      <c r="E23" s="231">
        <v>0.26</v>
      </c>
      <c r="F23" s="232" t="s">
        <v>166</v>
      </c>
    </row>
    <row r="24" spans="1:6" s="130" customFormat="1" ht="15.75" customHeight="1">
      <c r="A24" s="138" t="s">
        <v>162</v>
      </c>
      <c r="B24" s="139" t="s">
        <v>88</v>
      </c>
      <c r="C24" s="209">
        <v>0</v>
      </c>
      <c r="D24" s="213">
        <v>0.23</v>
      </c>
      <c r="E24" s="231">
        <v>0.23</v>
      </c>
      <c r="F24" s="232" t="s">
        <v>166</v>
      </c>
    </row>
    <row r="25" spans="1:6" s="130" customFormat="1" ht="15.75" customHeight="1" thickBot="1">
      <c r="A25" s="151" t="s">
        <v>150</v>
      </c>
      <c r="B25" s="152" t="s">
        <v>88</v>
      </c>
      <c r="C25" s="211">
        <v>0</v>
      </c>
      <c r="D25" s="215">
        <v>0.32</v>
      </c>
      <c r="E25" s="234">
        <v>0.32</v>
      </c>
      <c r="F25" s="235" t="s">
        <v>166</v>
      </c>
    </row>
    <row r="26" spans="1:8" s="130" customFormat="1" ht="13.5" customHeight="1">
      <c r="A26" s="197" t="s">
        <v>95</v>
      </c>
      <c r="B26" s="40"/>
      <c r="C26" s="40"/>
      <c r="D26" s="40"/>
      <c r="E26" s="40"/>
      <c r="F26" s="40"/>
      <c r="G26" s="40"/>
      <c r="H26" s="40"/>
    </row>
    <row r="27" spans="1:8" s="130" customFormat="1" ht="13.5" customHeight="1">
      <c r="A27" s="197" t="s">
        <v>190</v>
      </c>
      <c r="B27" s="40"/>
      <c r="C27" s="40"/>
      <c r="D27" s="40"/>
      <c r="E27" s="40"/>
      <c r="F27" s="40"/>
      <c r="G27" s="40"/>
      <c r="H27" s="40"/>
    </row>
    <row r="28" spans="1:8" s="130" customFormat="1" ht="13.5" customHeight="1">
      <c r="A28" s="198" t="s">
        <v>237</v>
      </c>
      <c r="B28" s="40"/>
      <c r="C28" s="40"/>
      <c r="D28" s="40"/>
      <c r="E28" s="40"/>
      <c r="F28" s="40"/>
      <c r="G28" s="40"/>
      <c r="H28" s="40"/>
    </row>
    <row r="29" spans="1:8" s="130" customFormat="1" ht="13.5" customHeight="1">
      <c r="A29" s="197" t="s">
        <v>153</v>
      </c>
      <c r="B29" s="40"/>
      <c r="C29" s="40"/>
      <c r="D29" s="40"/>
      <c r="E29" s="40"/>
      <c r="F29" s="40"/>
      <c r="G29" s="40"/>
      <c r="H29" s="40"/>
    </row>
    <row r="30" spans="1:8" s="130" customFormat="1" ht="13.5" customHeight="1">
      <c r="A30" s="197" t="s">
        <v>152</v>
      </c>
      <c r="B30" s="40"/>
      <c r="C30" s="40"/>
      <c r="D30" s="40"/>
      <c r="E30" s="40"/>
      <c r="F30" s="40"/>
      <c r="G30" s="40"/>
      <c r="H30" s="40"/>
    </row>
  </sheetData>
  <sheetProtection sheet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0" customWidth="1"/>
    <col min="2" max="8" width="8.421875" style="0" customWidth="1"/>
    <col min="9" max="9" width="11.421875" style="0" customWidth="1"/>
    <col min="10" max="13" width="8.421875" style="0" customWidth="1"/>
    <col min="14" max="15" width="6.57421875" style="0" customWidth="1"/>
  </cols>
  <sheetData>
    <row r="1" spans="1:14" ht="12.75" customHeight="1">
      <c r="A1" s="224" t="s">
        <v>257</v>
      </c>
      <c r="B1" s="224"/>
      <c r="C1" s="224"/>
      <c r="D1" s="224"/>
      <c r="E1" s="224"/>
      <c r="F1" s="198"/>
      <c r="G1" s="247" t="s">
        <v>258</v>
      </c>
      <c r="H1" s="247"/>
      <c r="I1" s="247"/>
      <c r="J1" s="247"/>
      <c r="K1" s="247"/>
      <c r="L1" s="247"/>
      <c r="M1" s="219"/>
      <c r="N1" s="60"/>
    </row>
    <row r="2" spans="1:14" ht="12.75" customHeight="1">
      <c r="A2" s="198"/>
      <c r="B2" s="198"/>
      <c r="C2" s="198"/>
      <c r="D2" s="198"/>
      <c r="E2" s="198"/>
      <c r="F2" s="198"/>
      <c r="G2" s="217" t="s">
        <v>247</v>
      </c>
      <c r="H2" s="218">
        <v>5.31</v>
      </c>
      <c r="I2" s="198" t="s">
        <v>155</v>
      </c>
      <c r="J2" s="217">
        <v>11.28</v>
      </c>
      <c r="K2" s="198" t="s">
        <v>248</v>
      </c>
      <c r="L2" s="217">
        <v>8.26</v>
      </c>
      <c r="M2" s="198"/>
      <c r="N2" s="61"/>
    </row>
    <row r="3" spans="1:14" ht="12.75" customHeight="1">
      <c r="A3" s="198"/>
      <c r="B3" s="198"/>
      <c r="C3" s="198"/>
      <c r="D3" s="198"/>
      <c r="E3" s="198"/>
      <c r="F3" s="198"/>
      <c r="G3" s="217" t="s">
        <v>86</v>
      </c>
      <c r="H3" s="218">
        <v>10.4</v>
      </c>
      <c r="I3" s="198" t="s">
        <v>156</v>
      </c>
      <c r="J3" s="217">
        <v>7.43</v>
      </c>
      <c r="K3" s="219"/>
      <c r="L3" s="198"/>
      <c r="M3" s="217"/>
      <c r="N3" s="61"/>
    </row>
    <row r="4" spans="1:15" ht="8.25" customHeight="1">
      <c r="A4" s="198"/>
      <c r="B4" s="198"/>
      <c r="C4" s="198"/>
      <c r="D4" s="198"/>
      <c r="E4" s="198"/>
      <c r="F4" s="198"/>
      <c r="G4" s="198"/>
      <c r="H4" s="198"/>
      <c r="I4" s="217"/>
      <c r="J4" s="217"/>
      <c r="K4" s="198"/>
      <c r="L4" s="198"/>
      <c r="M4" s="198"/>
      <c r="N4" s="1"/>
      <c r="O4" s="2"/>
    </row>
    <row r="5" spans="1:15" ht="12.75">
      <c r="A5" s="225" t="s">
        <v>24</v>
      </c>
      <c r="B5" s="216" t="s">
        <v>78</v>
      </c>
      <c r="C5" s="216" t="s">
        <v>79</v>
      </c>
      <c r="D5" s="216" t="s">
        <v>80</v>
      </c>
      <c r="E5" s="216" t="s">
        <v>81</v>
      </c>
      <c r="F5" s="216" t="s">
        <v>82</v>
      </c>
      <c r="G5" s="220" t="s">
        <v>154</v>
      </c>
      <c r="H5" s="220" t="s">
        <v>13</v>
      </c>
      <c r="I5" s="216" t="s">
        <v>83</v>
      </c>
      <c r="J5" s="216" t="s">
        <v>83</v>
      </c>
      <c r="K5" s="216" t="s">
        <v>84</v>
      </c>
      <c r="L5" s="216" t="s">
        <v>249</v>
      </c>
      <c r="M5" s="216" t="s">
        <v>85</v>
      </c>
      <c r="N5" s="3"/>
      <c r="O5" s="3"/>
    </row>
    <row r="6" spans="1:15" ht="12.75">
      <c r="A6" s="225"/>
      <c r="B6" s="248" t="s">
        <v>250</v>
      </c>
      <c r="C6" s="246"/>
      <c r="D6" s="246"/>
      <c r="E6" s="246"/>
      <c r="F6" s="246"/>
      <c r="G6" s="246"/>
      <c r="H6" s="246"/>
      <c r="I6" s="246"/>
      <c r="J6" s="248" t="s">
        <v>251</v>
      </c>
      <c r="K6" s="249"/>
      <c r="L6" s="249"/>
      <c r="M6" s="249"/>
      <c r="N6" s="5"/>
      <c r="O6" s="4"/>
    </row>
    <row r="7" spans="1:15" ht="12.75">
      <c r="A7" s="198" t="s">
        <v>25</v>
      </c>
      <c r="B7" s="218">
        <v>2.88</v>
      </c>
      <c r="C7" s="218">
        <v>2.55</v>
      </c>
      <c r="D7" s="218">
        <v>2.7</v>
      </c>
      <c r="E7" s="218">
        <v>1.86</v>
      </c>
      <c r="F7" s="218">
        <v>1.31</v>
      </c>
      <c r="G7" s="218">
        <v>5.17</v>
      </c>
      <c r="H7" s="218">
        <v>2.01</v>
      </c>
      <c r="I7" s="218">
        <f>J7*0.56</f>
        <v>5.493600000000001</v>
      </c>
      <c r="J7" s="218">
        <v>9.81</v>
      </c>
      <c r="K7" s="218">
        <v>10.08</v>
      </c>
      <c r="L7" s="218">
        <v>10.06</v>
      </c>
      <c r="M7" s="218">
        <v>9.86</v>
      </c>
      <c r="N7" s="6"/>
      <c r="O7" s="6"/>
    </row>
    <row r="8" spans="1:15" ht="12.75">
      <c r="A8" s="198" t="s">
        <v>26</v>
      </c>
      <c r="B8" s="218">
        <v>3.06</v>
      </c>
      <c r="C8" s="218">
        <v>2.74</v>
      </c>
      <c r="D8" s="218">
        <v>2.91</v>
      </c>
      <c r="E8" s="218">
        <v>1.82</v>
      </c>
      <c r="F8" s="218">
        <v>1.33</v>
      </c>
      <c r="G8" s="218">
        <v>5.13</v>
      </c>
      <c r="H8" s="218">
        <v>1.94</v>
      </c>
      <c r="I8" s="218">
        <f aca="true" t="shared" si="0" ref="I8:I58">J8*0.56</f>
        <v>5.975200000000001</v>
      </c>
      <c r="J8" s="218">
        <v>10.67</v>
      </c>
      <c r="K8" s="218">
        <v>10.08</v>
      </c>
      <c r="L8" s="218">
        <v>10.41</v>
      </c>
      <c r="M8" s="218">
        <v>9.91</v>
      </c>
      <c r="N8" s="6"/>
      <c r="O8" s="6"/>
    </row>
    <row r="9" spans="1:15" ht="12.75">
      <c r="A9" s="198" t="s">
        <v>27</v>
      </c>
      <c r="B9" s="218">
        <v>2.97</v>
      </c>
      <c r="C9" s="218">
        <v>2.64</v>
      </c>
      <c r="D9" s="218">
        <v>2.73</v>
      </c>
      <c r="E9" s="218">
        <v>1.78</v>
      </c>
      <c r="F9" s="218">
        <v>1.3</v>
      </c>
      <c r="G9" s="218">
        <v>5.07</v>
      </c>
      <c r="H9" s="218">
        <v>1.88</v>
      </c>
      <c r="I9" s="218">
        <f t="shared" si="0"/>
        <v>5.840800000000001</v>
      </c>
      <c r="J9" s="218">
        <v>10.43</v>
      </c>
      <c r="K9" s="218">
        <v>10.37</v>
      </c>
      <c r="L9" s="218">
        <v>10.19</v>
      </c>
      <c r="M9" s="218">
        <v>9.86</v>
      </c>
      <c r="N9" s="6"/>
      <c r="O9" s="6"/>
    </row>
    <row r="10" spans="1:15" ht="12.75">
      <c r="A10" s="198" t="s">
        <v>28</v>
      </c>
      <c r="B10" s="218">
        <v>2.88</v>
      </c>
      <c r="C10" s="218">
        <v>2.58</v>
      </c>
      <c r="D10" s="218">
        <v>2.69</v>
      </c>
      <c r="E10" s="218">
        <v>1.81</v>
      </c>
      <c r="F10" s="218">
        <v>1.3</v>
      </c>
      <c r="G10" s="218">
        <v>5.01</v>
      </c>
      <c r="H10" s="218">
        <v>1.99</v>
      </c>
      <c r="I10" s="218">
        <f t="shared" si="0"/>
        <v>5.448800000000001</v>
      </c>
      <c r="J10" s="218">
        <v>9.73</v>
      </c>
      <c r="K10" s="218">
        <v>10.15</v>
      </c>
      <c r="L10" s="218">
        <v>9.69</v>
      </c>
      <c r="M10" s="218">
        <v>9.98</v>
      </c>
      <c r="N10" s="6"/>
      <c r="O10" s="6"/>
    </row>
    <row r="11" spans="1:15" ht="12.75">
      <c r="A11" s="198" t="s">
        <v>29</v>
      </c>
      <c r="B11" s="218">
        <v>2.9</v>
      </c>
      <c r="C11" s="218">
        <v>2.54</v>
      </c>
      <c r="D11" s="218">
        <v>2.69</v>
      </c>
      <c r="E11" s="218">
        <v>1.81</v>
      </c>
      <c r="F11" s="218">
        <v>1.3</v>
      </c>
      <c r="G11" s="218">
        <v>5.14</v>
      </c>
      <c r="H11" s="218">
        <v>1.98</v>
      </c>
      <c r="I11" s="218">
        <f t="shared" si="0"/>
        <v>5.695200000000001</v>
      </c>
      <c r="J11" s="218">
        <v>10.17</v>
      </c>
      <c r="K11" s="218">
        <v>10.37</v>
      </c>
      <c r="L11" s="218">
        <v>9.91</v>
      </c>
      <c r="M11" s="218">
        <v>9.79</v>
      </c>
      <c r="N11" s="6"/>
      <c r="O11" s="6"/>
    </row>
    <row r="12" spans="1:13" ht="12.75">
      <c r="A12" s="198" t="s">
        <v>30</v>
      </c>
      <c r="B12" s="218">
        <v>2.88</v>
      </c>
      <c r="C12" s="218">
        <v>2.53</v>
      </c>
      <c r="D12" s="218">
        <v>2.68</v>
      </c>
      <c r="E12" s="218">
        <v>1.86</v>
      </c>
      <c r="F12" s="218">
        <v>1.29</v>
      </c>
      <c r="G12" s="218">
        <v>5.14</v>
      </c>
      <c r="H12" s="218">
        <v>1.95</v>
      </c>
      <c r="I12" s="218">
        <f t="shared" si="0"/>
        <v>5.448800000000001</v>
      </c>
      <c r="J12" s="218">
        <v>9.73</v>
      </c>
      <c r="K12" s="218">
        <v>10.01</v>
      </c>
      <c r="L12" s="218">
        <v>9.95</v>
      </c>
      <c r="M12" s="218">
        <v>9.96</v>
      </c>
    </row>
    <row r="13" spans="1:13" ht="12.75">
      <c r="A13" s="198" t="s">
        <v>31</v>
      </c>
      <c r="B13" s="218">
        <v>2.88</v>
      </c>
      <c r="C13" s="218">
        <v>2.51</v>
      </c>
      <c r="D13" s="218">
        <v>2.68</v>
      </c>
      <c r="E13" s="218">
        <v>1.78</v>
      </c>
      <c r="F13" s="218">
        <v>1.32</v>
      </c>
      <c r="G13" s="218">
        <v>5.01</v>
      </c>
      <c r="H13" s="218">
        <v>1.99</v>
      </c>
      <c r="I13" s="218">
        <f t="shared" si="0"/>
        <v>5.4712000000000005</v>
      </c>
      <c r="J13" s="218">
        <v>9.77</v>
      </c>
      <c r="K13" s="218">
        <v>10.29</v>
      </c>
      <c r="L13" s="218">
        <v>9.77</v>
      </c>
      <c r="M13" s="218">
        <v>9.94</v>
      </c>
    </row>
    <row r="14" spans="1:15" ht="12.75">
      <c r="A14" s="198" t="s">
        <v>32</v>
      </c>
      <c r="B14" s="218">
        <v>2.93</v>
      </c>
      <c r="C14" s="218">
        <v>2.63</v>
      </c>
      <c r="D14" s="218">
        <v>2.76</v>
      </c>
      <c r="E14" s="218">
        <v>1.84</v>
      </c>
      <c r="F14" s="218">
        <v>1.3</v>
      </c>
      <c r="G14" s="218">
        <v>5.13</v>
      </c>
      <c r="H14" s="218">
        <v>1.98</v>
      </c>
      <c r="I14" s="218">
        <f t="shared" si="0"/>
        <v>5.812800000000001</v>
      </c>
      <c r="J14" s="218">
        <v>10.38</v>
      </c>
      <c r="K14" s="218">
        <v>10.29</v>
      </c>
      <c r="L14" s="218">
        <v>10.12</v>
      </c>
      <c r="M14" s="218">
        <v>9.75</v>
      </c>
      <c r="N14" s="6"/>
      <c r="O14" s="6"/>
    </row>
    <row r="15" spans="1:15" ht="12.75">
      <c r="A15" s="198" t="s">
        <v>33</v>
      </c>
      <c r="B15" s="218">
        <v>3.08</v>
      </c>
      <c r="C15" s="218">
        <v>2.77</v>
      </c>
      <c r="D15" s="218">
        <v>2.97</v>
      </c>
      <c r="E15" s="218">
        <v>1.82</v>
      </c>
      <c r="F15" s="218">
        <v>1.38</v>
      </c>
      <c r="G15" s="218">
        <v>5.15</v>
      </c>
      <c r="H15" s="218">
        <v>1.96</v>
      </c>
      <c r="I15" s="218">
        <f t="shared" si="0"/>
        <v>6.048000000000001</v>
      </c>
      <c r="J15" s="218">
        <v>10.8</v>
      </c>
      <c r="K15" s="218">
        <v>10.01</v>
      </c>
      <c r="L15" s="218">
        <v>10.56</v>
      </c>
      <c r="M15" s="218">
        <v>9.97</v>
      </c>
      <c r="N15" s="6"/>
      <c r="O15" s="6"/>
    </row>
    <row r="16" spans="1:15" ht="12.75">
      <c r="A16" s="198" t="s">
        <v>34</v>
      </c>
      <c r="B16" s="218">
        <v>2.99</v>
      </c>
      <c r="C16" s="218">
        <v>2.68</v>
      </c>
      <c r="D16" s="218">
        <v>2.69</v>
      </c>
      <c r="E16" s="218">
        <v>1.77</v>
      </c>
      <c r="F16" s="218">
        <v>1.31</v>
      </c>
      <c r="G16" s="218">
        <v>4.96</v>
      </c>
      <c r="H16" s="218">
        <v>1.99</v>
      </c>
      <c r="I16" s="218">
        <f t="shared" si="0"/>
        <v>5.812800000000001</v>
      </c>
      <c r="J16" s="218">
        <v>10.38</v>
      </c>
      <c r="K16" s="218">
        <v>10.22</v>
      </c>
      <c r="L16" s="218">
        <v>10.12</v>
      </c>
      <c r="M16" s="218">
        <v>9.92</v>
      </c>
      <c r="N16" s="6"/>
      <c r="O16" s="6"/>
    </row>
    <row r="17" spans="1:15" ht="12.75">
      <c r="A17" s="198" t="s">
        <v>35</v>
      </c>
      <c r="B17" s="218">
        <v>3.07</v>
      </c>
      <c r="C17" s="218">
        <v>2.74</v>
      </c>
      <c r="D17" s="218">
        <v>2.91</v>
      </c>
      <c r="E17" s="218">
        <v>1.84</v>
      </c>
      <c r="F17" s="218">
        <v>1.32</v>
      </c>
      <c r="G17" s="218">
        <v>5.15</v>
      </c>
      <c r="H17" s="218">
        <v>1.98</v>
      </c>
      <c r="I17" s="218">
        <f t="shared" si="0"/>
        <v>5.952800000000001</v>
      </c>
      <c r="J17" s="218">
        <v>10.63</v>
      </c>
      <c r="K17" s="218">
        <v>10.01</v>
      </c>
      <c r="L17" s="218">
        <v>10.33</v>
      </c>
      <c r="M17" s="218">
        <v>9.78</v>
      </c>
      <c r="N17" s="6"/>
      <c r="O17" s="6"/>
    </row>
    <row r="18" spans="1:15" ht="12.75">
      <c r="A18" s="198" t="s">
        <v>36</v>
      </c>
      <c r="B18" s="218">
        <v>2.88</v>
      </c>
      <c r="C18" s="218">
        <v>2.48</v>
      </c>
      <c r="D18" s="218">
        <v>2.68</v>
      </c>
      <c r="E18" s="218">
        <v>1.77</v>
      </c>
      <c r="F18" s="218">
        <v>1.32</v>
      </c>
      <c r="G18" s="218">
        <v>5.14</v>
      </c>
      <c r="H18" s="218">
        <v>1.98</v>
      </c>
      <c r="I18" s="218">
        <f t="shared" si="0"/>
        <v>5.443200000000001</v>
      </c>
      <c r="J18" s="218">
        <v>9.72</v>
      </c>
      <c r="K18" s="218">
        <v>10.15</v>
      </c>
      <c r="L18" s="218">
        <v>9.62</v>
      </c>
      <c r="M18" s="218">
        <v>10.04</v>
      </c>
      <c r="N18" s="6"/>
      <c r="O18" s="6"/>
    </row>
    <row r="19" spans="1:15" ht="12.75">
      <c r="A19" s="198" t="s">
        <v>37</v>
      </c>
      <c r="B19" s="218">
        <v>2.9</v>
      </c>
      <c r="C19" s="218">
        <v>2.56</v>
      </c>
      <c r="D19" s="218">
        <v>2.68</v>
      </c>
      <c r="E19" s="218">
        <v>1.81</v>
      </c>
      <c r="F19" s="218">
        <v>1.3</v>
      </c>
      <c r="G19" s="218">
        <v>5.15</v>
      </c>
      <c r="H19" s="218">
        <v>1.98</v>
      </c>
      <c r="I19" s="218">
        <f t="shared" si="0"/>
        <v>5.499200000000001</v>
      </c>
      <c r="J19" s="218">
        <v>9.82</v>
      </c>
      <c r="K19" s="218">
        <v>10.29</v>
      </c>
      <c r="L19" s="218">
        <v>9.84</v>
      </c>
      <c r="M19" s="218">
        <v>9.94</v>
      </c>
      <c r="N19" s="6"/>
      <c r="O19" s="6"/>
    </row>
    <row r="20" spans="1:15" ht="12.75">
      <c r="A20" s="198" t="s">
        <v>38</v>
      </c>
      <c r="B20" s="218">
        <v>3.01</v>
      </c>
      <c r="C20" s="218">
        <v>2.65</v>
      </c>
      <c r="D20" s="218">
        <v>2.79</v>
      </c>
      <c r="E20" s="218">
        <v>1.78</v>
      </c>
      <c r="F20" s="218">
        <v>1.3</v>
      </c>
      <c r="G20" s="218">
        <v>5.1</v>
      </c>
      <c r="H20" s="218">
        <v>2.01</v>
      </c>
      <c r="I20" s="218">
        <f t="shared" si="0"/>
        <v>5.880000000000001</v>
      </c>
      <c r="J20" s="218">
        <v>10.5</v>
      </c>
      <c r="K20" s="218">
        <v>10.29</v>
      </c>
      <c r="L20" s="218">
        <v>10.26</v>
      </c>
      <c r="M20" s="218">
        <v>9.92</v>
      </c>
      <c r="N20" s="6"/>
      <c r="O20" s="6"/>
    </row>
    <row r="21" spans="1:15" ht="12.75">
      <c r="A21" s="198" t="s">
        <v>39</v>
      </c>
      <c r="B21" s="218">
        <v>2.98</v>
      </c>
      <c r="C21" s="218">
        <v>2.65</v>
      </c>
      <c r="D21" s="218">
        <v>2.81</v>
      </c>
      <c r="E21" s="218">
        <v>1.86</v>
      </c>
      <c r="F21" s="218">
        <v>1.3</v>
      </c>
      <c r="G21" s="218">
        <v>5.01</v>
      </c>
      <c r="H21" s="218">
        <v>1.99</v>
      </c>
      <c r="I21" s="218">
        <f t="shared" si="0"/>
        <v>5.829600000000001</v>
      </c>
      <c r="J21" s="218">
        <v>10.41</v>
      </c>
      <c r="K21" s="218">
        <v>10.15</v>
      </c>
      <c r="L21" s="218">
        <v>10.12</v>
      </c>
      <c r="M21" s="218">
        <v>9.68</v>
      </c>
      <c r="N21" s="6"/>
      <c r="O21" s="6"/>
    </row>
    <row r="22" spans="1:15" ht="12.75">
      <c r="A22" s="198" t="s">
        <v>40</v>
      </c>
      <c r="B22" s="218">
        <v>3.02</v>
      </c>
      <c r="C22" s="218">
        <v>2.69</v>
      </c>
      <c r="D22" s="218">
        <v>2.87</v>
      </c>
      <c r="E22" s="218">
        <v>1.81</v>
      </c>
      <c r="F22" s="218">
        <v>1.3</v>
      </c>
      <c r="G22" s="218">
        <v>5.07</v>
      </c>
      <c r="H22" s="218">
        <v>1.93</v>
      </c>
      <c r="I22" s="218">
        <f t="shared" si="0"/>
        <v>5.8912</v>
      </c>
      <c r="J22" s="218">
        <v>10.52</v>
      </c>
      <c r="K22" s="218">
        <v>10.22</v>
      </c>
      <c r="L22" s="218">
        <v>10.26</v>
      </c>
      <c r="M22" s="218">
        <v>9.92</v>
      </c>
      <c r="N22" s="6"/>
      <c r="O22" s="6"/>
    </row>
    <row r="23" spans="1:15" ht="12.75">
      <c r="A23" s="198" t="s">
        <v>41</v>
      </c>
      <c r="B23" s="218">
        <v>2.87</v>
      </c>
      <c r="C23" s="218">
        <v>2.53</v>
      </c>
      <c r="D23" s="218">
        <v>2.72</v>
      </c>
      <c r="E23" s="218">
        <v>1.84</v>
      </c>
      <c r="F23" s="218">
        <v>1.3</v>
      </c>
      <c r="G23" s="218">
        <v>5.08</v>
      </c>
      <c r="H23" s="218">
        <v>1.93</v>
      </c>
      <c r="I23" s="218">
        <f t="shared" si="0"/>
        <v>5.4656</v>
      </c>
      <c r="J23" s="218">
        <v>9.76</v>
      </c>
      <c r="K23" s="218">
        <v>10.08</v>
      </c>
      <c r="L23" s="218">
        <v>9.88</v>
      </c>
      <c r="M23" s="218">
        <v>10.03</v>
      </c>
      <c r="N23" s="6"/>
      <c r="O23" s="6"/>
    </row>
    <row r="24" spans="1:15" ht="12.75">
      <c r="A24" s="198" t="s">
        <v>42</v>
      </c>
      <c r="B24" s="218">
        <v>3.04</v>
      </c>
      <c r="C24" s="218">
        <v>2.74</v>
      </c>
      <c r="D24" s="218">
        <v>2.77</v>
      </c>
      <c r="E24" s="218">
        <v>1.84</v>
      </c>
      <c r="F24" s="218">
        <v>1.35</v>
      </c>
      <c r="G24" s="218">
        <v>5.05</v>
      </c>
      <c r="H24" s="218">
        <v>1.94</v>
      </c>
      <c r="I24" s="218">
        <f t="shared" si="0"/>
        <v>5.936</v>
      </c>
      <c r="J24" s="218">
        <v>10.6</v>
      </c>
      <c r="K24" s="218">
        <v>10.08</v>
      </c>
      <c r="L24" s="218">
        <v>10.33</v>
      </c>
      <c r="M24" s="218">
        <v>10.11</v>
      </c>
      <c r="N24" s="6"/>
      <c r="O24" s="6"/>
    </row>
    <row r="25" spans="1:15" ht="12.75">
      <c r="A25" s="198" t="s">
        <v>43</v>
      </c>
      <c r="B25" s="218">
        <v>2.89</v>
      </c>
      <c r="C25" s="218">
        <v>2.59</v>
      </c>
      <c r="D25" s="218">
        <v>2.73</v>
      </c>
      <c r="E25" s="218">
        <v>1.87</v>
      </c>
      <c r="F25" s="218">
        <v>1.3</v>
      </c>
      <c r="G25" s="218">
        <v>5.15</v>
      </c>
      <c r="H25" s="218">
        <v>1.97</v>
      </c>
      <c r="I25" s="218">
        <f t="shared" si="0"/>
        <v>5.734400000000001</v>
      </c>
      <c r="J25" s="218">
        <v>10.24</v>
      </c>
      <c r="K25" s="218">
        <v>10.22</v>
      </c>
      <c r="L25" s="218">
        <v>9.98</v>
      </c>
      <c r="M25" s="218">
        <v>9.83</v>
      </c>
      <c r="N25" s="6"/>
      <c r="O25" s="6"/>
    </row>
    <row r="26" spans="1:15" ht="12.75">
      <c r="A26" s="198" t="s">
        <v>44</v>
      </c>
      <c r="B26" s="218">
        <v>3.04</v>
      </c>
      <c r="C26" s="218">
        <v>2.7</v>
      </c>
      <c r="D26" s="218">
        <v>2.87</v>
      </c>
      <c r="E26" s="218">
        <v>1.81</v>
      </c>
      <c r="F26" s="218">
        <v>1.31</v>
      </c>
      <c r="G26" s="218">
        <v>5.08</v>
      </c>
      <c r="H26" s="218">
        <v>1.92</v>
      </c>
      <c r="I26" s="218">
        <f t="shared" si="0"/>
        <v>5.936</v>
      </c>
      <c r="J26" s="218">
        <v>10.6</v>
      </c>
      <c r="K26" s="218">
        <v>10.15</v>
      </c>
      <c r="L26" s="218">
        <v>10.33</v>
      </c>
      <c r="M26" s="218">
        <v>9.98</v>
      </c>
      <c r="N26" s="6"/>
      <c r="O26" s="6"/>
    </row>
    <row r="27" spans="1:15" ht="12.75">
      <c r="A27" s="198" t="s">
        <v>45</v>
      </c>
      <c r="B27" s="218">
        <v>2.89</v>
      </c>
      <c r="C27" s="218">
        <v>2.58</v>
      </c>
      <c r="D27" s="218">
        <v>2.71</v>
      </c>
      <c r="E27" s="218">
        <v>1.86</v>
      </c>
      <c r="F27" s="218">
        <v>1.3</v>
      </c>
      <c r="G27" s="218">
        <v>5.08</v>
      </c>
      <c r="H27" s="218">
        <v>1.94</v>
      </c>
      <c r="I27" s="218">
        <f t="shared" si="0"/>
        <v>5.493600000000001</v>
      </c>
      <c r="J27" s="218">
        <v>9.81</v>
      </c>
      <c r="K27" s="218">
        <v>10.15</v>
      </c>
      <c r="L27" s="218">
        <v>9.84</v>
      </c>
      <c r="M27" s="218">
        <v>9.87</v>
      </c>
      <c r="N27" s="6"/>
      <c r="O27" s="6"/>
    </row>
    <row r="28" spans="1:15" ht="12.75">
      <c r="A28" s="198" t="s">
        <v>46</v>
      </c>
      <c r="B28" s="218">
        <v>2.97</v>
      </c>
      <c r="C28" s="218">
        <v>2.68</v>
      </c>
      <c r="D28" s="218">
        <v>2.81</v>
      </c>
      <c r="E28" s="218">
        <v>1.82</v>
      </c>
      <c r="F28" s="218">
        <v>1.31</v>
      </c>
      <c r="G28" s="218">
        <v>5.08</v>
      </c>
      <c r="H28" s="218">
        <v>1.9</v>
      </c>
      <c r="I28" s="218">
        <f t="shared" si="0"/>
        <v>5.852</v>
      </c>
      <c r="J28" s="218">
        <v>10.45</v>
      </c>
      <c r="K28" s="218">
        <v>10.29</v>
      </c>
      <c r="L28" s="218">
        <v>10.19</v>
      </c>
      <c r="M28" s="218">
        <v>9.81</v>
      </c>
      <c r="N28" s="6"/>
      <c r="O28" s="6"/>
    </row>
    <row r="29" spans="1:15" ht="12.75">
      <c r="A29" s="198" t="s">
        <v>47</v>
      </c>
      <c r="B29" s="218">
        <v>3.05</v>
      </c>
      <c r="C29" s="218">
        <v>2.74</v>
      </c>
      <c r="D29" s="218">
        <v>2.92</v>
      </c>
      <c r="E29" s="218">
        <v>1.84</v>
      </c>
      <c r="F29" s="218">
        <v>1.32</v>
      </c>
      <c r="G29" s="218">
        <v>5.08</v>
      </c>
      <c r="H29" s="218">
        <v>1.96</v>
      </c>
      <c r="I29" s="218">
        <f t="shared" si="0"/>
        <v>5.952800000000001</v>
      </c>
      <c r="J29" s="218">
        <v>10.63</v>
      </c>
      <c r="K29" s="218">
        <v>10.08</v>
      </c>
      <c r="L29" s="218">
        <v>10.33</v>
      </c>
      <c r="M29" s="218">
        <v>9.85</v>
      </c>
      <c r="N29" s="6"/>
      <c r="O29" s="6"/>
    </row>
    <row r="30" spans="1:15" ht="12.75">
      <c r="A30" s="198" t="s">
        <v>48</v>
      </c>
      <c r="B30" s="218">
        <v>3.02</v>
      </c>
      <c r="C30" s="218">
        <v>2.7</v>
      </c>
      <c r="D30" s="218">
        <v>2.84</v>
      </c>
      <c r="E30" s="218">
        <v>1.84</v>
      </c>
      <c r="F30" s="218">
        <v>1.3</v>
      </c>
      <c r="G30" s="218">
        <v>5.12</v>
      </c>
      <c r="H30" s="218">
        <v>1.99</v>
      </c>
      <c r="I30" s="218">
        <f t="shared" si="0"/>
        <v>5.8912</v>
      </c>
      <c r="J30" s="218">
        <v>10.52</v>
      </c>
      <c r="K30" s="218">
        <v>10.15</v>
      </c>
      <c r="L30" s="218">
        <v>10.26</v>
      </c>
      <c r="M30" s="218">
        <v>9.8</v>
      </c>
      <c r="N30" s="6"/>
      <c r="O30" s="6"/>
    </row>
    <row r="31" spans="1:15" ht="12.75">
      <c r="A31" s="198" t="s">
        <v>49</v>
      </c>
      <c r="B31" s="218">
        <v>2.9</v>
      </c>
      <c r="C31" s="218">
        <v>2.58</v>
      </c>
      <c r="D31" s="218">
        <v>2.7</v>
      </c>
      <c r="E31" s="218">
        <v>1.81</v>
      </c>
      <c r="F31" s="218">
        <v>1.33</v>
      </c>
      <c r="G31" s="218">
        <v>5.15</v>
      </c>
      <c r="H31" s="218">
        <v>2</v>
      </c>
      <c r="I31" s="218">
        <f t="shared" si="0"/>
        <v>5.7568</v>
      </c>
      <c r="J31" s="218">
        <v>10.28</v>
      </c>
      <c r="K31" s="218">
        <v>10.52</v>
      </c>
      <c r="L31" s="218">
        <v>10.05</v>
      </c>
      <c r="M31" s="218">
        <v>9.8</v>
      </c>
      <c r="N31" s="6"/>
      <c r="O31" s="6"/>
    </row>
    <row r="32" spans="1:15" ht="12.75">
      <c r="A32" s="198" t="s">
        <v>50</v>
      </c>
      <c r="B32" s="218">
        <v>3.03</v>
      </c>
      <c r="C32" s="218">
        <v>2.69</v>
      </c>
      <c r="D32" s="218">
        <v>2.85</v>
      </c>
      <c r="E32" s="218">
        <v>1.84</v>
      </c>
      <c r="F32" s="218">
        <v>1.3</v>
      </c>
      <c r="G32" s="218">
        <v>5.11</v>
      </c>
      <c r="H32" s="218">
        <v>1.95</v>
      </c>
      <c r="I32" s="218">
        <f t="shared" si="0"/>
        <v>5.868800000000001</v>
      </c>
      <c r="J32" s="218">
        <v>10.48</v>
      </c>
      <c r="K32" s="218">
        <v>10.08</v>
      </c>
      <c r="L32" s="218">
        <v>10.19</v>
      </c>
      <c r="M32" s="218">
        <v>9.74</v>
      </c>
      <c r="N32" s="6"/>
      <c r="O32" s="6"/>
    </row>
    <row r="33" spans="1:15" ht="12.75">
      <c r="A33" s="198" t="s">
        <v>51</v>
      </c>
      <c r="B33" s="218">
        <v>2.87</v>
      </c>
      <c r="C33" s="218">
        <v>2.54</v>
      </c>
      <c r="D33" s="218">
        <v>2.67</v>
      </c>
      <c r="E33" s="218">
        <v>1.79</v>
      </c>
      <c r="F33" s="218">
        <v>1.3</v>
      </c>
      <c r="G33" s="218">
        <v>5.14</v>
      </c>
      <c r="H33" s="218">
        <v>1.98</v>
      </c>
      <c r="I33" s="218">
        <f t="shared" si="0"/>
        <v>5.4656</v>
      </c>
      <c r="J33" s="218">
        <v>9.76</v>
      </c>
      <c r="K33" s="218">
        <v>10.22</v>
      </c>
      <c r="L33" s="218">
        <v>9.69</v>
      </c>
      <c r="M33" s="218">
        <v>10.04</v>
      </c>
      <c r="N33" s="7"/>
      <c r="O33" s="7"/>
    </row>
    <row r="34" spans="1:15" ht="12.75">
      <c r="A34" s="198" t="s">
        <v>52</v>
      </c>
      <c r="B34" s="218">
        <v>2.91</v>
      </c>
      <c r="C34" s="218">
        <v>2.58</v>
      </c>
      <c r="D34" s="218">
        <v>2.71</v>
      </c>
      <c r="E34" s="218">
        <v>1.81</v>
      </c>
      <c r="F34" s="218">
        <v>1.3</v>
      </c>
      <c r="G34" s="218">
        <v>5.01</v>
      </c>
      <c r="H34" s="218">
        <v>1.94</v>
      </c>
      <c r="I34" s="218">
        <f t="shared" si="0"/>
        <v>5.734400000000001</v>
      </c>
      <c r="J34" s="218">
        <v>10.24</v>
      </c>
      <c r="K34" s="218">
        <v>10.44</v>
      </c>
      <c r="L34" s="218">
        <v>9.98</v>
      </c>
      <c r="M34" s="218">
        <v>9.85</v>
      </c>
      <c r="N34" s="6"/>
      <c r="O34" s="6"/>
    </row>
    <row r="35" spans="1:15" ht="12.75">
      <c r="A35" s="198" t="s">
        <v>53</v>
      </c>
      <c r="B35" s="218">
        <v>2.9</v>
      </c>
      <c r="C35" s="218">
        <v>2.58</v>
      </c>
      <c r="D35" s="218">
        <v>2.7</v>
      </c>
      <c r="E35" s="218">
        <v>1.86</v>
      </c>
      <c r="F35" s="218">
        <v>1.3</v>
      </c>
      <c r="G35" s="218">
        <v>4.47</v>
      </c>
      <c r="H35" s="218">
        <v>1.84</v>
      </c>
      <c r="I35" s="218">
        <f t="shared" si="0"/>
        <v>5.5272</v>
      </c>
      <c r="J35" s="218">
        <v>9.87</v>
      </c>
      <c r="K35" s="218">
        <v>10.37</v>
      </c>
      <c r="L35" s="218">
        <v>9.91</v>
      </c>
      <c r="M35" s="218">
        <v>9.9</v>
      </c>
      <c r="N35" s="6"/>
      <c r="O35" s="6"/>
    </row>
    <row r="36" spans="1:15" ht="12.75">
      <c r="A36" s="198" t="s">
        <v>54</v>
      </c>
      <c r="B36" s="218">
        <v>2.93</v>
      </c>
      <c r="C36" s="218">
        <v>2.62</v>
      </c>
      <c r="D36" s="218">
        <v>2.76</v>
      </c>
      <c r="E36" s="218">
        <v>1.86</v>
      </c>
      <c r="F36" s="218">
        <v>1.3</v>
      </c>
      <c r="G36" s="218">
        <v>4.47</v>
      </c>
      <c r="H36" s="218">
        <v>1.84</v>
      </c>
      <c r="I36" s="218">
        <f t="shared" si="0"/>
        <v>5.7512</v>
      </c>
      <c r="J36" s="218">
        <v>10.27</v>
      </c>
      <c r="K36" s="218">
        <v>10.29</v>
      </c>
      <c r="L36" s="218">
        <v>9.98</v>
      </c>
      <c r="M36" s="218">
        <v>9.78</v>
      </c>
      <c r="N36" s="6"/>
      <c r="O36" s="6"/>
    </row>
    <row r="37" spans="1:15" ht="12.75">
      <c r="A37" s="198" t="s">
        <v>55</v>
      </c>
      <c r="B37" s="218">
        <v>2.9</v>
      </c>
      <c r="C37" s="218">
        <v>2.53</v>
      </c>
      <c r="D37" s="218">
        <v>2.7</v>
      </c>
      <c r="E37" s="218">
        <v>1.79</v>
      </c>
      <c r="F37" s="218">
        <v>1.33</v>
      </c>
      <c r="G37" s="218">
        <v>4.47</v>
      </c>
      <c r="H37" s="218">
        <v>1.9</v>
      </c>
      <c r="I37" s="218">
        <f t="shared" si="0"/>
        <v>5.499200000000001</v>
      </c>
      <c r="J37" s="218">
        <v>9.82</v>
      </c>
      <c r="K37" s="218">
        <v>10.37</v>
      </c>
      <c r="L37" s="218">
        <v>9.84</v>
      </c>
      <c r="M37" s="218">
        <v>9.95</v>
      </c>
      <c r="N37" s="6"/>
      <c r="O37" s="6"/>
    </row>
    <row r="38" spans="1:15" ht="12.75">
      <c r="A38" s="198" t="s">
        <v>56</v>
      </c>
      <c r="B38" s="218">
        <v>3.02</v>
      </c>
      <c r="C38" s="218">
        <v>2.69</v>
      </c>
      <c r="D38" s="218">
        <v>2.77</v>
      </c>
      <c r="E38" s="218">
        <v>1.82</v>
      </c>
      <c r="F38" s="218">
        <v>1.31</v>
      </c>
      <c r="G38" s="218">
        <v>4.57</v>
      </c>
      <c r="H38" s="218">
        <v>1.8</v>
      </c>
      <c r="I38" s="218">
        <f t="shared" si="0"/>
        <v>5.919200000000001</v>
      </c>
      <c r="J38" s="218">
        <v>10.57</v>
      </c>
      <c r="K38" s="218">
        <v>10.15</v>
      </c>
      <c r="L38" s="218">
        <v>10.33</v>
      </c>
      <c r="M38" s="218">
        <v>10.05</v>
      </c>
      <c r="N38" s="6"/>
      <c r="O38" s="6"/>
    </row>
    <row r="39" spans="1:15" ht="12.75">
      <c r="A39" s="198" t="s">
        <v>57</v>
      </c>
      <c r="B39" s="218">
        <v>2.9</v>
      </c>
      <c r="C39" s="218">
        <v>2.58</v>
      </c>
      <c r="D39" s="218">
        <v>2.69</v>
      </c>
      <c r="E39" s="218">
        <v>1.86</v>
      </c>
      <c r="F39" s="218">
        <v>1.3</v>
      </c>
      <c r="G39" s="218">
        <v>4.47</v>
      </c>
      <c r="H39" s="218">
        <v>1.84</v>
      </c>
      <c r="I39" s="218">
        <f t="shared" si="0"/>
        <v>5.734400000000001</v>
      </c>
      <c r="J39" s="218">
        <v>10.24</v>
      </c>
      <c r="K39" s="218">
        <v>10.37</v>
      </c>
      <c r="L39" s="218">
        <v>9.98</v>
      </c>
      <c r="M39" s="218">
        <v>9.84</v>
      </c>
      <c r="N39" s="6"/>
      <c r="O39" s="6"/>
    </row>
    <row r="40" spans="1:15" ht="12.75">
      <c r="A40" s="198" t="s">
        <v>58</v>
      </c>
      <c r="B40" s="218">
        <v>3</v>
      </c>
      <c r="C40" s="218">
        <v>2.73</v>
      </c>
      <c r="D40" s="218">
        <v>2.69</v>
      </c>
      <c r="E40" s="218">
        <v>1.8</v>
      </c>
      <c r="F40" s="218">
        <v>1.31</v>
      </c>
      <c r="G40" s="218">
        <v>4.62</v>
      </c>
      <c r="H40" s="218">
        <v>1.81</v>
      </c>
      <c r="I40" s="218">
        <f t="shared" si="0"/>
        <v>5.852</v>
      </c>
      <c r="J40" s="218">
        <v>10.45</v>
      </c>
      <c r="K40" s="218">
        <v>10.08</v>
      </c>
      <c r="L40" s="218">
        <v>10.19</v>
      </c>
      <c r="M40" s="218">
        <v>9.98</v>
      </c>
      <c r="N40" s="6"/>
      <c r="O40" s="6"/>
    </row>
    <row r="41" spans="1:15" ht="12.75">
      <c r="A41" s="198" t="s">
        <v>59</v>
      </c>
      <c r="B41" s="218">
        <v>2.92</v>
      </c>
      <c r="C41" s="218">
        <v>2.59</v>
      </c>
      <c r="D41" s="218">
        <v>2.73</v>
      </c>
      <c r="E41" s="218">
        <v>1.78</v>
      </c>
      <c r="F41" s="218">
        <v>1.31</v>
      </c>
      <c r="G41" s="218">
        <v>4.47</v>
      </c>
      <c r="H41" s="218">
        <v>1.76</v>
      </c>
      <c r="I41" s="218">
        <f t="shared" si="0"/>
        <v>5.796</v>
      </c>
      <c r="J41" s="218">
        <v>10.35</v>
      </c>
      <c r="K41" s="218">
        <v>10.44</v>
      </c>
      <c r="L41" s="218">
        <v>10.12</v>
      </c>
      <c r="M41" s="218">
        <v>9.81</v>
      </c>
      <c r="N41" s="6"/>
      <c r="O41" s="6"/>
    </row>
    <row r="42" spans="1:15" ht="12.75">
      <c r="A42" s="198" t="s">
        <v>60</v>
      </c>
      <c r="B42" s="218">
        <v>2.99</v>
      </c>
      <c r="C42" s="218">
        <v>2.68</v>
      </c>
      <c r="D42" s="218">
        <v>2.74</v>
      </c>
      <c r="E42" s="218">
        <v>1.8</v>
      </c>
      <c r="F42" s="218">
        <v>1.31</v>
      </c>
      <c r="G42" s="218">
        <v>4.57</v>
      </c>
      <c r="H42" s="218">
        <v>1.81</v>
      </c>
      <c r="I42" s="218">
        <f t="shared" si="0"/>
        <v>5.852</v>
      </c>
      <c r="J42" s="218">
        <v>10.45</v>
      </c>
      <c r="K42" s="218">
        <v>10.22</v>
      </c>
      <c r="L42" s="218">
        <v>10.19</v>
      </c>
      <c r="M42" s="218">
        <v>9.92</v>
      </c>
      <c r="N42" s="6"/>
      <c r="O42" s="6"/>
    </row>
    <row r="43" spans="1:15" ht="12.75">
      <c r="A43" s="198" t="s">
        <v>61</v>
      </c>
      <c r="B43" s="218">
        <v>3.08</v>
      </c>
      <c r="C43" s="218">
        <v>2.77</v>
      </c>
      <c r="D43" s="218">
        <v>2.96</v>
      </c>
      <c r="E43" s="218">
        <v>1.84</v>
      </c>
      <c r="F43" s="218">
        <v>1.36</v>
      </c>
      <c r="G43" s="218">
        <v>4.7</v>
      </c>
      <c r="H43" s="218">
        <v>1.8</v>
      </c>
      <c r="I43" s="218">
        <f t="shared" si="0"/>
        <v>6.0200000000000005</v>
      </c>
      <c r="J43" s="218">
        <v>10.75</v>
      </c>
      <c r="K43" s="218">
        <v>10.01</v>
      </c>
      <c r="L43" s="218">
        <v>10.48</v>
      </c>
      <c r="M43" s="218">
        <v>9.84</v>
      </c>
      <c r="N43" s="6"/>
      <c r="O43" s="6"/>
    </row>
    <row r="44" spans="1:15" ht="12.75">
      <c r="A44" s="198" t="s">
        <v>62</v>
      </c>
      <c r="B44" s="218">
        <v>2.9</v>
      </c>
      <c r="C44" s="218">
        <v>2.56</v>
      </c>
      <c r="D44" s="218">
        <v>2.68</v>
      </c>
      <c r="E44" s="218">
        <v>1.81</v>
      </c>
      <c r="F44" s="218">
        <v>1.3</v>
      </c>
      <c r="G44" s="218">
        <v>4.47</v>
      </c>
      <c r="H44" s="218">
        <v>1.84</v>
      </c>
      <c r="I44" s="218">
        <f t="shared" si="0"/>
        <v>5.488000000000001</v>
      </c>
      <c r="J44" s="218">
        <v>9.8</v>
      </c>
      <c r="K44" s="218">
        <v>10.37</v>
      </c>
      <c r="L44" s="218">
        <v>9.84</v>
      </c>
      <c r="M44" s="218">
        <v>9.84</v>
      </c>
      <c r="N44" s="6"/>
      <c r="O44" s="6"/>
    </row>
    <row r="45" spans="1:15" ht="12.75">
      <c r="A45" s="198" t="s">
        <v>63</v>
      </c>
      <c r="B45" s="218">
        <v>3.09</v>
      </c>
      <c r="C45" s="218">
        <v>2.79</v>
      </c>
      <c r="D45" s="218">
        <v>2.96</v>
      </c>
      <c r="E45" s="218">
        <v>1.85</v>
      </c>
      <c r="F45" s="218">
        <v>1.4</v>
      </c>
      <c r="G45" s="218">
        <v>4.77</v>
      </c>
      <c r="H45" s="218">
        <v>1.84</v>
      </c>
      <c r="I45" s="218">
        <f t="shared" si="0"/>
        <v>6.053600000000001</v>
      </c>
      <c r="J45" s="218">
        <v>10.81</v>
      </c>
      <c r="K45" s="218">
        <v>9.87</v>
      </c>
      <c r="L45" s="218">
        <v>10.48</v>
      </c>
      <c r="M45" s="218">
        <v>9.83</v>
      </c>
      <c r="N45" s="6"/>
      <c r="O45" s="6"/>
    </row>
    <row r="46" spans="1:15" ht="12.75">
      <c r="A46" s="198" t="s">
        <v>64</v>
      </c>
      <c r="B46" s="218">
        <v>2.92</v>
      </c>
      <c r="C46" s="218">
        <v>2.58</v>
      </c>
      <c r="D46" s="218">
        <v>2.71</v>
      </c>
      <c r="E46" s="218">
        <v>1.78</v>
      </c>
      <c r="F46" s="218">
        <v>1.31</v>
      </c>
      <c r="G46" s="218">
        <v>4.47</v>
      </c>
      <c r="H46" s="218">
        <v>1.76</v>
      </c>
      <c r="I46" s="218">
        <f t="shared" si="0"/>
        <v>5.7568</v>
      </c>
      <c r="J46" s="218">
        <v>10.28</v>
      </c>
      <c r="K46" s="218">
        <v>10.37</v>
      </c>
      <c r="L46" s="218">
        <v>10.05</v>
      </c>
      <c r="M46" s="218">
        <v>9.81</v>
      </c>
      <c r="N46" s="6"/>
      <c r="O46" s="6"/>
    </row>
    <row r="47" spans="1:15" ht="12.75">
      <c r="A47" s="198" t="s">
        <v>65</v>
      </c>
      <c r="B47" s="218">
        <v>3.08</v>
      </c>
      <c r="C47" s="218">
        <v>2.78</v>
      </c>
      <c r="D47" s="218">
        <v>2.96</v>
      </c>
      <c r="E47" s="218">
        <v>1.84</v>
      </c>
      <c r="F47" s="218">
        <v>1.36</v>
      </c>
      <c r="G47" s="218">
        <v>4.7</v>
      </c>
      <c r="H47" s="218">
        <v>1.84</v>
      </c>
      <c r="I47" s="218">
        <f t="shared" si="0"/>
        <v>6.014400000000001</v>
      </c>
      <c r="J47" s="218">
        <v>10.74</v>
      </c>
      <c r="K47" s="218">
        <v>9.94</v>
      </c>
      <c r="L47" s="218">
        <v>10.41</v>
      </c>
      <c r="M47" s="218">
        <v>9.83</v>
      </c>
      <c r="N47" s="6"/>
      <c r="O47" s="6"/>
    </row>
    <row r="48" spans="1:15" ht="12.75">
      <c r="A48" s="198" t="s">
        <v>66</v>
      </c>
      <c r="B48" s="218">
        <v>2.94</v>
      </c>
      <c r="C48" s="218">
        <v>2.63</v>
      </c>
      <c r="D48" s="218">
        <v>2.75</v>
      </c>
      <c r="E48" s="218">
        <v>1.82</v>
      </c>
      <c r="F48" s="218">
        <v>1.3</v>
      </c>
      <c r="G48" s="218">
        <v>4.47</v>
      </c>
      <c r="H48" s="218">
        <v>1.82</v>
      </c>
      <c r="I48" s="218">
        <f t="shared" si="0"/>
        <v>5.796</v>
      </c>
      <c r="J48" s="218">
        <v>10.35</v>
      </c>
      <c r="K48" s="218">
        <v>10.44</v>
      </c>
      <c r="L48" s="218">
        <v>10.12</v>
      </c>
      <c r="M48" s="218">
        <v>9.75</v>
      </c>
      <c r="N48" s="6"/>
      <c r="O48" s="6"/>
    </row>
    <row r="49" spans="1:15" ht="12.75">
      <c r="A49" s="198" t="s">
        <v>67</v>
      </c>
      <c r="B49" s="218">
        <v>2.93</v>
      </c>
      <c r="C49" s="218">
        <v>2.6</v>
      </c>
      <c r="D49" s="218">
        <v>2.71</v>
      </c>
      <c r="E49" s="218">
        <v>1.86</v>
      </c>
      <c r="F49" s="218">
        <v>1.3</v>
      </c>
      <c r="G49" s="218">
        <v>4.47</v>
      </c>
      <c r="H49" s="218">
        <v>1.84</v>
      </c>
      <c r="I49" s="218">
        <f t="shared" si="0"/>
        <v>5.773600000000001</v>
      </c>
      <c r="J49" s="218">
        <v>10.31</v>
      </c>
      <c r="K49" s="218">
        <v>10.15</v>
      </c>
      <c r="L49" s="218">
        <v>10.05</v>
      </c>
      <c r="M49" s="218">
        <v>9.78</v>
      </c>
      <c r="N49" s="6"/>
      <c r="O49" s="6"/>
    </row>
    <row r="50" spans="1:15" ht="12.75">
      <c r="A50" s="198" t="s">
        <v>68</v>
      </c>
      <c r="B50" s="218">
        <v>2.88</v>
      </c>
      <c r="C50" s="218">
        <v>2.53</v>
      </c>
      <c r="D50" s="218">
        <v>2.69</v>
      </c>
      <c r="E50" s="218">
        <v>1.86</v>
      </c>
      <c r="F50" s="218">
        <v>1.3</v>
      </c>
      <c r="G50" s="218">
        <v>4.47</v>
      </c>
      <c r="H50" s="218">
        <v>1.96</v>
      </c>
      <c r="I50" s="218">
        <f t="shared" si="0"/>
        <v>5.448800000000001</v>
      </c>
      <c r="J50" s="218">
        <v>9.73</v>
      </c>
      <c r="K50" s="218">
        <v>10.08</v>
      </c>
      <c r="L50" s="218">
        <v>9.95</v>
      </c>
      <c r="M50" s="218">
        <v>9.97</v>
      </c>
      <c r="N50" s="6"/>
      <c r="O50" s="6"/>
    </row>
    <row r="51" spans="1:15" ht="12.75">
      <c r="A51" s="198" t="s">
        <v>69</v>
      </c>
      <c r="B51" s="218">
        <v>2.89</v>
      </c>
      <c r="C51" s="218">
        <v>2.58</v>
      </c>
      <c r="D51" s="218">
        <v>2.71</v>
      </c>
      <c r="E51" s="218">
        <v>1.86</v>
      </c>
      <c r="F51" s="218">
        <v>1.3</v>
      </c>
      <c r="G51" s="218">
        <v>4.47</v>
      </c>
      <c r="H51" s="218">
        <v>1.9</v>
      </c>
      <c r="I51" s="218">
        <f t="shared" si="0"/>
        <v>5.499200000000001</v>
      </c>
      <c r="J51" s="218">
        <v>9.82</v>
      </c>
      <c r="K51" s="218">
        <v>10.22</v>
      </c>
      <c r="L51" s="218">
        <v>9.84</v>
      </c>
      <c r="M51" s="218">
        <v>9.94</v>
      </c>
      <c r="N51" s="6"/>
      <c r="O51" s="6"/>
    </row>
    <row r="52" spans="1:15" ht="12.75">
      <c r="A52" s="198" t="s">
        <v>70</v>
      </c>
      <c r="B52" s="218">
        <v>3.06</v>
      </c>
      <c r="C52" s="218">
        <v>2.74</v>
      </c>
      <c r="D52" s="218">
        <v>2.87</v>
      </c>
      <c r="E52" s="218">
        <v>1.82</v>
      </c>
      <c r="F52" s="218">
        <v>1.33</v>
      </c>
      <c r="G52" s="218">
        <v>4.67</v>
      </c>
      <c r="H52" s="218">
        <v>1.79</v>
      </c>
      <c r="I52" s="218">
        <f t="shared" si="0"/>
        <v>5.975200000000001</v>
      </c>
      <c r="J52" s="218">
        <v>10.67</v>
      </c>
      <c r="K52" s="218">
        <v>10.08</v>
      </c>
      <c r="L52" s="218">
        <v>10.41</v>
      </c>
      <c r="M52" s="218">
        <v>10.04</v>
      </c>
      <c r="N52" s="6"/>
      <c r="O52" s="6"/>
    </row>
    <row r="53" spans="1:15" ht="12.75">
      <c r="A53" s="198" t="s">
        <v>71</v>
      </c>
      <c r="B53" s="218">
        <v>3.01</v>
      </c>
      <c r="C53" s="218">
        <v>2.69</v>
      </c>
      <c r="D53" s="218">
        <v>2.86</v>
      </c>
      <c r="E53" s="218">
        <v>1.83</v>
      </c>
      <c r="F53" s="218">
        <v>1.3</v>
      </c>
      <c r="G53" s="218">
        <v>4.57</v>
      </c>
      <c r="H53" s="218">
        <v>1.78</v>
      </c>
      <c r="I53" s="218">
        <f t="shared" si="0"/>
        <v>5.919200000000001</v>
      </c>
      <c r="J53" s="218">
        <v>10.57</v>
      </c>
      <c r="K53" s="218">
        <v>10.22</v>
      </c>
      <c r="L53" s="218">
        <v>10.33</v>
      </c>
      <c r="M53" s="218">
        <v>9.85</v>
      </c>
      <c r="N53" s="6"/>
      <c r="O53" s="6"/>
    </row>
    <row r="54" spans="1:15" ht="12.75">
      <c r="A54" s="198" t="s">
        <v>72</v>
      </c>
      <c r="B54" s="218">
        <v>2.95</v>
      </c>
      <c r="C54" s="218">
        <v>2.63</v>
      </c>
      <c r="D54" s="218">
        <v>2.7</v>
      </c>
      <c r="E54" s="218">
        <v>1.78</v>
      </c>
      <c r="F54" s="218">
        <v>1.31</v>
      </c>
      <c r="G54" s="218">
        <v>4.47</v>
      </c>
      <c r="H54" s="218">
        <v>1.76</v>
      </c>
      <c r="I54" s="218">
        <f t="shared" si="0"/>
        <v>5.796</v>
      </c>
      <c r="J54" s="218">
        <v>10.35</v>
      </c>
      <c r="K54" s="218">
        <v>10.29</v>
      </c>
      <c r="L54" s="218">
        <v>10.12</v>
      </c>
      <c r="M54" s="218">
        <v>9.86</v>
      </c>
      <c r="N54" s="6"/>
      <c r="O54" s="6"/>
    </row>
    <row r="55" spans="1:15" ht="12.75">
      <c r="A55" s="198" t="s">
        <v>73</v>
      </c>
      <c r="B55" s="218">
        <v>3.07</v>
      </c>
      <c r="C55" s="218">
        <v>2.77</v>
      </c>
      <c r="D55" s="218">
        <v>2.87</v>
      </c>
      <c r="E55" s="218">
        <v>1.83</v>
      </c>
      <c r="F55" s="218">
        <v>1.36</v>
      </c>
      <c r="G55" s="218">
        <v>4.72</v>
      </c>
      <c r="H55" s="218">
        <v>1.82</v>
      </c>
      <c r="I55" s="218">
        <f t="shared" si="0"/>
        <v>6.0200000000000005</v>
      </c>
      <c r="J55" s="218">
        <v>10.75</v>
      </c>
      <c r="K55" s="218">
        <v>10.01</v>
      </c>
      <c r="L55" s="218">
        <v>10.48</v>
      </c>
      <c r="M55" s="218">
        <v>10.03</v>
      </c>
      <c r="N55" s="6"/>
      <c r="O55" s="6"/>
    </row>
    <row r="56" spans="1:15" ht="12.75">
      <c r="A56" s="198" t="s">
        <v>74</v>
      </c>
      <c r="B56" s="218">
        <v>3.02</v>
      </c>
      <c r="C56" s="218">
        <v>2.73</v>
      </c>
      <c r="D56" s="218">
        <v>2.7</v>
      </c>
      <c r="E56" s="218">
        <v>1.82</v>
      </c>
      <c r="F56" s="218">
        <v>1.31</v>
      </c>
      <c r="G56" s="218">
        <v>4.64</v>
      </c>
      <c r="H56" s="218">
        <v>1.86</v>
      </c>
      <c r="I56" s="218">
        <f t="shared" si="0"/>
        <v>5.8912</v>
      </c>
      <c r="J56" s="218">
        <v>10.52</v>
      </c>
      <c r="K56" s="218">
        <v>10.08</v>
      </c>
      <c r="L56" s="218">
        <v>10.26</v>
      </c>
      <c r="M56" s="218">
        <v>10.04</v>
      </c>
      <c r="N56" s="7"/>
      <c r="O56" s="7"/>
    </row>
    <row r="57" spans="1:15" ht="12.75">
      <c r="A57" s="198" t="s">
        <v>75</v>
      </c>
      <c r="B57" s="218">
        <v>2.88</v>
      </c>
      <c r="C57" s="218">
        <v>2.54</v>
      </c>
      <c r="D57" s="218">
        <v>2.71</v>
      </c>
      <c r="E57" s="218">
        <v>1.82</v>
      </c>
      <c r="F57" s="218">
        <v>1.33</v>
      </c>
      <c r="G57" s="218">
        <v>4.47</v>
      </c>
      <c r="H57" s="218">
        <v>1.84</v>
      </c>
      <c r="I57" s="218">
        <f t="shared" si="0"/>
        <v>5.5216</v>
      </c>
      <c r="J57" s="218">
        <v>9.86</v>
      </c>
      <c r="K57" s="218">
        <v>10.44</v>
      </c>
      <c r="L57" s="218">
        <v>9.91</v>
      </c>
      <c r="M57" s="218">
        <v>9.84</v>
      </c>
      <c r="N57" s="60"/>
      <c r="O57" s="60"/>
    </row>
    <row r="58" spans="1:13" ht="12.75">
      <c r="A58" s="198" t="s">
        <v>76</v>
      </c>
      <c r="B58" s="218">
        <v>2.97</v>
      </c>
      <c r="C58" s="218">
        <v>2.64</v>
      </c>
      <c r="D58" s="218">
        <v>2.78</v>
      </c>
      <c r="E58" s="218">
        <v>1.8</v>
      </c>
      <c r="F58" s="218">
        <v>1.31</v>
      </c>
      <c r="G58" s="218">
        <v>4.47</v>
      </c>
      <c r="H58" s="218">
        <v>1.79</v>
      </c>
      <c r="I58" s="218">
        <f t="shared" si="0"/>
        <v>5.840800000000001</v>
      </c>
      <c r="J58" s="218">
        <v>10.43</v>
      </c>
      <c r="K58" s="218">
        <v>10.37</v>
      </c>
      <c r="L58" s="218">
        <v>10.19</v>
      </c>
      <c r="M58" s="218">
        <v>9.87</v>
      </c>
    </row>
    <row r="59" spans="1:13" ht="13.5" thickBot="1">
      <c r="A59" s="198" t="s">
        <v>77</v>
      </c>
      <c r="B59" s="218">
        <v>2.87</v>
      </c>
      <c r="C59" s="218">
        <v>2.5</v>
      </c>
      <c r="D59" s="218">
        <v>2.67</v>
      </c>
      <c r="E59" s="218">
        <v>1.78</v>
      </c>
      <c r="F59" s="218">
        <v>1.32</v>
      </c>
      <c r="G59" s="218">
        <v>4.47</v>
      </c>
      <c r="H59" s="218">
        <v>1.96</v>
      </c>
      <c r="I59" s="218">
        <v>5.47</v>
      </c>
      <c r="J59" s="221">
        <v>9.76</v>
      </c>
      <c r="K59" s="221">
        <v>10.22</v>
      </c>
      <c r="L59" s="221">
        <v>9.69</v>
      </c>
      <c r="M59" s="221">
        <v>10.04</v>
      </c>
    </row>
    <row r="60" spans="1:13" ht="12.75">
      <c r="A60" s="226"/>
      <c r="B60" s="250"/>
      <c r="C60" s="250"/>
      <c r="D60" s="250"/>
      <c r="E60" s="227"/>
      <c r="F60" s="227"/>
      <c r="G60" s="227"/>
      <c r="H60" s="227"/>
      <c r="I60" s="222"/>
      <c r="J60" s="251"/>
      <c r="K60" s="252"/>
      <c r="L60" s="252"/>
      <c r="M60" s="252"/>
    </row>
    <row r="61" spans="1:13" ht="12.75">
      <c r="A61" s="198" t="s">
        <v>252</v>
      </c>
      <c r="C61" s="223">
        <v>2.94</v>
      </c>
      <c r="D61" s="228"/>
      <c r="E61" s="218">
        <v>1.95</v>
      </c>
      <c r="F61" s="218">
        <v>1.39</v>
      </c>
      <c r="G61" s="218">
        <v>5</v>
      </c>
      <c r="H61" s="217">
        <v>1.95</v>
      </c>
      <c r="I61" s="218"/>
      <c r="J61" s="245">
        <v>10.09</v>
      </c>
      <c r="K61" s="246"/>
      <c r="L61" s="246"/>
      <c r="M61" s="246"/>
    </row>
  </sheetData>
  <sheetProtection sheet="1"/>
  <mergeCells count="6">
    <mergeCell ref="J61:M61"/>
    <mergeCell ref="G1:L1"/>
    <mergeCell ref="B6:I6"/>
    <mergeCell ref="J6:M6"/>
    <mergeCell ref="B60:D60"/>
    <mergeCell ref="J60:M60"/>
  </mergeCells>
  <printOptions/>
  <pageMargins left="0.25" right="0.25" top="0.5" bottom="0.25" header="0.5" footer="0.5"/>
  <pageSetup fitToHeight="1" fitToWidth="1" horizontalDpi="360" verticalDpi="36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NDSU Extension</dc:creator>
  <cp:keywords/>
  <dc:description/>
  <cp:lastModifiedBy>Andrew Swenson</cp:lastModifiedBy>
  <cp:lastPrinted>2015-03-05T16:20:32Z</cp:lastPrinted>
  <dcterms:created xsi:type="dcterms:W3CDTF">2000-01-27T01:52:49Z</dcterms:created>
  <dcterms:modified xsi:type="dcterms:W3CDTF">2016-04-11T15:19:12Z</dcterms:modified>
  <cp:category/>
  <cp:version/>
  <cp:contentType/>
  <cp:contentStatus/>
</cp:coreProperties>
</file>