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10"/>
  <workbookPr/>
  <mc:AlternateContent xmlns:mc="http://schemas.openxmlformats.org/markup-compatibility/2006">
    <mc:Choice Requires="x15">
      <x15ac:absPath xmlns:x15ac="http://schemas.microsoft.com/office/spreadsheetml/2010/11/ac" url="/Users/AndyMacBookAir/Documents/Extension/Articles/Budgets/"/>
    </mc:Choice>
  </mc:AlternateContent>
  <bookViews>
    <workbookView xWindow="51280" yWindow="460" windowWidth="25480" windowHeight="28340"/>
  </bookViews>
  <sheets>
    <sheet name="Red Norland Budget" sheetId="1" r:id="rId1"/>
    <sheet name="Fert &amp; Chem" sheetId="2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"SJ6B2EDGD5Z4PS45UIIQ6BVL"</definedName>
    <definedName name="PalisadeReportWorkbookCreatedBy">"Risk"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IsInput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electedCell" hidden="1">"$I$65"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/>
  <c r="I17" i="2"/>
  <c r="I47" i="2" l="1"/>
  <c r="I46" i="2"/>
  <c r="D11" i="1" l="1"/>
  <c r="I44" i="2"/>
  <c r="I38" i="2" l="1"/>
  <c r="I36" i="2"/>
  <c r="I35" i="2"/>
  <c r="I37" i="2"/>
  <c r="I9" i="2"/>
  <c r="I54" i="2" l="1"/>
  <c r="I55" i="2"/>
  <c r="I53" i="2"/>
  <c r="I52" i="2"/>
  <c r="I51" i="2"/>
  <c r="I50" i="2"/>
  <c r="I49" i="2"/>
  <c r="I18" i="2" l="1"/>
  <c r="E16" i="1"/>
  <c r="I6" i="2"/>
  <c r="I5" i="2"/>
  <c r="I7" i="2"/>
  <c r="I4" i="2"/>
  <c r="I21" i="2"/>
  <c r="I16" i="2"/>
  <c r="I20" i="2"/>
  <c r="I22" i="2"/>
  <c r="I39" i="2"/>
  <c r="H23" i="1" s="1"/>
  <c r="I27" i="2"/>
  <c r="I28" i="2"/>
  <c r="I29" i="2"/>
  <c r="I30" i="2"/>
  <c r="I8" i="2"/>
  <c r="H15" i="1"/>
  <c r="E17" i="1"/>
  <c r="H17" i="1" s="1"/>
  <c r="H29" i="1"/>
  <c r="H39" i="1"/>
  <c r="H26" i="1"/>
  <c r="H27" i="1"/>
  <c r="H28" i="1"/>
  <c r="H33" i="1"/>
  <c r="H37" i="1"/>
  <c r="H38" i="1"/>
  <c r="E41" i="1"/>
  <c r="H41" i="1" s="1"/>
  <c r="H44" i="1"/>
  <c r="L54" i="1"/>
  <c r="H32" i="1"/>
  <c r="H31" i="1"/>
  <c r="K25" i="1" l="1"/>
  <c r="L25" i="1" s="1"/>
  <c r="E42" i="1"/>
  <c r="H42" i="1" s="1"/>
  <c r="K40" i="1" s="1"/>
  <c r="L40" i="1" s="1"/>
  <c r="E45" i="1"/>
  <c r="H45" i="1" s="1"/>
  <c r="K30" i="1"/>
  <c r="K36" i="1"/>
  <c r="L36" i="1" s="1"/>
  <c r="H16" i="1"/>
  <c r="K14" i="1" s="1"/>
  <c r="I45" i="2"/>
  <c r="I56" i="2" s="1"/>
  <c r="H24" i="1" s="1"/>
  <c r="I31" i="2"/>
  <c r="H22" i="1" s="1"/>
  <c r="I23" i="2"/>
  <c r="H21" i="1" s="1"/>
  <c r="I11" i="2"/>
  <c r="H19" i="1" s="1"/>
  <c r="E8" i="1"/>
  <c r="H8" i="1" s="1"/>
  <c r="L30" i="1"/>
  <c r="L53" i="1"/>
  <c r="E5" i="1"/>
  <c r="H5" i="1" s="1"/>
  <c r="E4" i="1"/>
  <c r="H4" i="1" s="1"/>
  <c r="E6" i="1"/>
  <c r="H6" i="1" s="1"/>
  <c r="E7" i="1"/>
  <c r="H7" i="1" s="1"/>
  <c r="L52" i="1"/>
  <c r="K20" i="1" l="1"/>
  <c r="L20" i="1" s="1"/>
  <c r="K19" i="1"/>
  <c r="L14" i="1"/>
  <c r="H46" i="1"/>
  <c r="K43" i="1" s="1"/>
  <c r="L19" i="1" l="1"/>
  <c r="K47" i="1"/>
  <c r="K56" i="1" s="1"/>
  <c r="L56" i="1" s="1"/>
  <c r="L43" i="1"/>
  <c r="H49" i="1" l="1"/>
  <c r="K55" i="1"/>
  <c r="L47" i="1"/>
  <c r="K58" i="1" l="1"/>
  <c r="K60" i="1" s="1"/>
  <c r="K62" i="1"/>
  <c r="L62" i="1" s="1"/>
  <c r="L60" i="1"/>
  <c r="L55" i="1"/>
  <c r="L58" i="1" l="1"/>
</calcChain>
</file>

<file path=xl/comments1.xml><?xml version="1.0" encoding="utf-8"?>
<comments xmlns="http://schemas.openxmlformats.org/spreadsheetml/2006/main">
  <authors>
    <author>Robinson</author>
  </authors>
  <commentList>
    <comment ref="L1" authorId="0" shapeId="0">
      <text>
        <r>
          <rPr>
            <sz val="9"/>
            <color indexed="81"/>
            <rFont val="Tahoma"/>
            <family val="2"/>
          </rPr>
          <t>Cost/cwt calculations are based on marketable yield, not total yield</t>
        </r>
      </text>
    </comment>
    <comment ref="I55" authorId="0" shapeId="0">
      <text>
        <r>
          <rPr>
            <sz val="9"/>
            <color indexed="81"/>
            <rFont val="Tahoma"/>
            <family val="2"/>
          </rPr>
          <t>General overhead is equal to 2.5% of total operating costs.</t>
        </r>
      </text>
    </comment>
    <comment ref="K55" authorId="0" shapeId="0">
      <text>
        <r>
          <rPr>
            <sz val="9"/>
            <color indexed="81"/>
            <rFont val="Tahoma"/>
            <family val="2"/>
          </rPr>
          <t>General overhead is equal to 2.5% of total operating costs.</t>
        </r>
      </text>
    </comment>
    <comment ref="I56" authorId="0" shapeId="0">
      <text>
        <r>
          <rPr>
            <sz val="9"/>
            <color rgb="FF000000"/>
            <rFont val="Tahoma"/>
            <family val="2"/>
          </rPr>
          <t>Management fee is equal to 5% of all operating costs.</t>
        </r>
      </text>
    </comment>
    <comment ref="K56" authorId="0" shapeId="0">
      <text>
        <r>
          <rPr>
            <sz val="9"/>
            <color rgb="FF000000"/>
            <rFont val="Tahoma"/>
            <family val="2"/>
          </rPr>
          <t>Management fee is equal to 5% of all operating costs.</t>
        </r>
      </text>
    </comment>
  </commentList>
</comments>
</file>

<file path=xl/sharedStrings.xml><?xml version="1.0" encoding="utf-8"?>
<sst xmlns="http://schemas.openxmlformats.org/spreadsheetml/2006/main" count="210" uniqueCount="121">
  <si>
    <t>Quantity per acre</t>
  </si>
  <si>
    <t>Unit</t>
  </si>
  <si>
    <t>Price</t>
  </si>
  <si>
    <t>Gross Returns</t>
  </si>
  <si>
    <t>Total Yield</t>
  </si>
  <si>
    <t>cwt</t>
  </si>
  <si>
    <t>A (marketable)</t>
  </si>
  <si>
    <t>B</t>
  </si>
  <si>
    <t>C</t>
  </si>
  <si>
    <t xml:space="preserve">     Culls</t>
  </si>
  <si>
    <t xml:space="preserve">     Shrinkage</t>
  </si>
  <si>
    <t xml:space="preserve">     % Marketable</t>
  </si>
  <si>
    <t>Operating Inputs</t>
  </si>
  <si>
    <t>Seed</t>
  </si>
  <si>
    <t>G3 Red Norland Seed</t>
  </si>
  <si>
    <t>Seed Freight</t>
  </si>
  <si>
    <t>Seed Cutting</t>
  </si>
  <si>
    <t>Fertilizer</t>
  </si>
  <si>
    <t>Pesticides</t>
  </si>
  <si>
    <t>Herbicide</t>
  </si>
  <si>
    <t>Desicant</t>
  </si>
  <si>
    <t>Insecticide</t>
  </si>
  <si>
    <t>Fungicide</t>
  </si>
  <si>
    <t>Custom</t>
  </si>
  <si>
    <t>application</t>
  </si>
  <si>
    <t>Consultants/Soil Testing</t>
  </si>
  <si>
    <t>acre</t>
  </si>
  <si>
    <t>spray</t>
  </si>
  <si>
    <t>Machinery</t>
  </si>
  <si>
    <t>Fuel--Gas</t>
  </si>
  <si>
    <t>gal</t>
  </si>
  <si>
    <t>Fuel--Red Diesel</t>
  </si>
  <si>
    <t>Fuel--Road Diesel</t>
  </si>
  <si>
    <t xml:space="preserve">Lube </t>
  </si>
  <si>
    <t>Machinery Repair</t>
  </si>
  <si>
    <t>Labor</t>
  </si>
  <si>
    <t>Equipment Operator</t>
  </si>
  <si>
    <t>hr</t>
  </si>
  <si>
    <t>Truck Driver</t>
  </si>
  <si>
    <t>General Farm Labor</t>
  </si>
  <si>
    <t>Storage and Washing</t>
  </si>
  <si>
    <t>Storage</t>
  </si>
  <si>
    <t>Wash Plant Charge</t>
  </si>
  <si>
    <t>Other</t>
  </si>
  <si>
    <t>Crop Insurance</t>
  </si>
  <si>
    <t>Potato Fees and Assessments</t>
  </si>
  <si>
    <t>Operating Interest: 5%</t>
  </si>
  <si>
    <t>Total Operating Costs per Acre</t>
  </si>
  <si>
    <t>Net Returns Above Operating Expenses per acre</t>
  </si>
  <si>
    <t>Ownership Costs</t>
  </si>
  <si>
    <t>Tractors &amp; Equipment Deprec. &amp; Interest</t>
  </si>
  <si>
    <t>Land Rent</t>
  </si>
  <si>
    <t>General Overhead</t>
  </si>
  <si>
    <t>Management Fee</t>
  </si>
  <si>
    <t>Total Ownership Costs per Acre</t>
  </si>
  <si>
    <t>Total Costs per Acre</t>
  </si>
  <si>
    <t>Net Returns Above Total Cost</t>
  </si>
  <si>
    <t>A US #2</t>
  </si>
  <si>
    <t>B US #2</t>
  </si>
  <si>
    <t>Cost/acre</t>
  </si>
  <si>
    <t>Custom Spray Ground</t>
  </si>
  <si>
    <t>Custom Spray Air</t>
  </si>
  <si>
    <t>Rate/ac.</t>
  </si>
  <si>
    <t>app Unit</t>
  </si>
  <si>
    <t>Price $/unit</t>
  </si>
  <si>
    <t>sale Unit</t>
  </si>
  <si>
    <t>Cost/ac.</t>
  </si>
  <si>
    <t>10-34-0</t>
  </si>
  <si>
    <t>ton</t>
  </si>
  <si>
    <t>lb</t>
  </si>
  <si>
    <t>Total fertilizer</t>
  </si>
  <si>
    <t>Pre-emergent</t>
  </si>
  <si>
    <t>Dual Magnum</t>
  </si>
  <si>
    <t>pt</t>
  </si>
  <si>
    <t>Metribuzin</t>
  </si>
  <si>
    <t>Post-emergent</t>
  </si>
  <si>
    <t>2,4-D</t>
  </si>
  <si>
    <t>oz</t>
  </si>
  <si>
    <t>Total herbicide</t>
  </si>
  <si>
    <t>Diquat (+NIS)[Reglone]</t>
  </si>
  <si>
    <t>NIS adjuvent</t>
  </si>
  <si>
    <t>Diquat</t>
  </si>
  <si>
    <t>Total desicant</t>
  </si>
  <si>
    <t>Total insecticide</t>
  </si>
  <si>
    <t>Emesto Silver</t>
  </si>
  <si>
    <t>oz/cwt</t>
  </si>
  <si>
    <t>Folliar</t>
  </si>
  <si>
    <t>Chlorothanil (Echo 720)</t>
  </si>
  <si>
    <t>Mancozeb (Koverall)</t>
  </si>
  <si>
    <t>Revus Top</t>
  </si>
  <si>
    <t>Luna Tranquility</t>
  </si>
  <si>
    <t>Total fungicide</t>
  </si>
  <si>
    <t>Belay</t>
  </si>
  <si>
    <t>oz/a</t>
  </si>
  <si>
    <t>Elatus</t>
  </si>
  <si>
    <t>Fir bark</t>
  </si>
  <si>
    <t>lb/cwt</t>
  </si>
  <si>
    <t>Custom Fertilizer</t>
  </si>
  <si>
    <t>Black hawk</t>
  </si>
  <si>
    <t>Coragen</t>
  </si>
  <si>
    <t>Agri-Mek</t>
  </si>
  <si>
    <t>Urea (46-0-0)</t>
  </si>
  <si>
    <t>MAP (11-52-0)</t>
  </si>
  <si>
    <t>KCL (0-0-60)</t>
  </si>
  <si>
    <t>AMS (21-0-0-24)</t>
  </si>
  <si>
    <t>Zn (0-0-0-26 ZN)</t>
  </si>
  <si>
    <t>PPI</t>
  </si>
  <si>
    <t>Foliar</t>
  </si>
  <si>
    <t>Foliar fertilizers</t>
  </si>
  <si>
    <t>Seed trt</t>
  </si>
  <si>
    <t>In furrow</t>
  </si>
  <si>
    <t xml:space="preserve">in furrow </t>
  </si>
  <si>
    <t>Dithane F45/Pencozeb</t>
  </si>
  <si>
    <t>Your cost/acre</t>
  </si>
  <si>
    <t>Your cost/cwt</t>
  </si>
  <si>
    <t>Royal MH-30</t>
  </si>
  <si>
    <t xml:space="preserve"> </t>
  </si>
  <si>
    <t>Prowl H20</t>
  </si>
  <si>
    <t>Desiccant</t>
  </si>
  <si>
    <t>Cost/cwt</t>
  </si>
  <si>
    <t>Tractors &amp; Equipment Insurance and housing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</si>
</sst>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"/>
    <numFmt numFmtId="166" formatCode="&quot;$&quot;#,##0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33"/>
        <bgColor indexed="64"/>
      </patternFill>
    </fill>
    <fill>
      <patternFill patternType="solid">
        <fgColor rgb="FFFFCC3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108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2" fontId="4" fillId="0" borderId="0" xfId="0" applyNumberFormat="1" applyFont="1" applyFill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9" fontId="4" fillId="0" borderId="0" xfId="1" applyFont="1" applyFill="1" applyAlignment="1" applyProtection="1">
      <alignment horizontal="center"/>
      <protection locked="0"/>
    </xf>
    <xf numFmtId="1" fontId="4" fillId="0" borderId="0" xfId="0" applyNumberFormat="1" applyFont="1" applyFill="1" applyAlignment="1" applyProtection="1">
      <alignment horizontal="center"/>
      <protection hidden="1"/>
    </xf>
    <xf numFmtId="2" fontId="4" fillId="0" borderId="0" xfId="0" applyNumberFormat="1" applyFont="1" applyFill="1" applyAlignment="1" applyProtection="1">
      <alignment horizontal="center"/>
      <protection locked="0"/>
    </xf>
    <xf numFmtId="0" fontId="4" fillId="0" borderId="1" xfId="0" applyFont="1" applyBorder="1" applyAlignment="1">
      <alignment horizontal="left"/>
    </xf>
    <xf numFmtId="9" fontId="4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165" fontId="4" fillId="0" borderId="0" xfId="0" applyNumberFormat="1" applyFont="1" applyFill="1" applyAlignment="1" applyProtection="1">
      <alignment horizontal="center"/>
      <protection locked="0"/>
    </xf>
    <xf numFmtId="164" fontId="4" fillId="0" borderId="0" xfId="0" applyNumberFormat="1" applyFont="1" applyFill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6" fillId="0" borderId="2" xfId="0" applyFont="1" applyBorder="1"/>
    <xf numFmtId="2" fontId="4" fillId="0" borderId="2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Border="1"/>
    <xf numFmtId="166" fontId="6" fillId="3" borderId="5" xfId="0" applyNumberFormat="1" applyFont="1" applyFill="1" applyBorder="1" applyAlignment="1">
      <alignment horizontal="center"/>
    </xf>
    <xf numFmtId="166" fontId="6" fillId="3" borderId="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 applyProtection="1">
      <alignment horizontal="center"/>
    </xf>
    <xf numFmtId="2" fontId="6" fillId="3" borderId="5" xfId="0" applyNumberFormat="1" applyFont="1" applyFill="1" applyBorder="1" applyAlignment="1" applyProtection="1">
      <alignment horizontal="center"/>
    </xf>
    <xf numFmtId="166" fontId="6" fillId="3" borderId="6" xfId="0" applyNumberFormat="1" applyFont="1" applyFill="1" applyBorder="1" applyAlignment="1" applyProtection="1">
      <alignment horizontal="center"/>
    </xf>
    <xf numFmtId="2" fontId="4" fillId="3" borderId="4" xfId="0" applyNumberFormat="1" applyFont="1" applyFill="1" applyBorder="1" applyAlignment="1" applyProtection="1">
      <alignment horizontal="center"/>
    </xf>
    <xf numFmtId="2" fontId="4" fillId="3" borderId="5" xfId="0" applyNumberFormat="1" applyFont="1" applyFill="1" applyBorder="1" applyAlignment="1" applyProtection="1">
      <alignment horizontal="center"/>
    </xf>
    <xf numFmtId="166" fontId="9" fillId="2" borderId="4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2" fontId="9" fillId="2" borderId="4" xfId="0" applyNumberFormat="1" applyFont="1" applyFill="1" applyBorder="1" applyAlignment="1" applyProtection="1">
      <alignment horizontal="center"/>
    </xf>
    <xf numFmtId="2" fontId="9" fillId="2" borderId="5" xfId="0" applyNumberFormat="1" applyFont="1" applyFill="1" applyBorder="1" applyAlignment="1" applyProtection="1">
      <alignment horizontal="center"/>
    </xf>
    <xf numFmtId="166" fontId="9" fillId="2" borderId="6" xfId="0" applyNumberFormat="1" applyFont="1" applyFill="1" applyBorder="1" applyAlignment="1" applyProtection="1">
      <alignment horizontal="center"/>
    </xf>
    <xf numFmtId="2" fontId="10" fillId="2" borderId="4" xfId="0" applyNumberFormat="1" applyFont="1" applyFill="1" applyBorder="1" applyAlignment="1" applyProtection="1">
      <alignment horizontal="center"/>
    </xf>
    <xf numFmtId="2" fontId="10" fillId="2" borderId="5" xfId="0" applyNumberFormat="1" applyFont="1" applyFill="1" applyBorder="1" applyAlignment="1" applyProtection="1">
      <alignment horizontal="center"/>
    </xf>
    <xf numFmtId="2" fontId="10" fillId="2" borderId="5" xfId="0" applyNumberFormat="1" applyFont="1" applyFill="1" applyBorder="1" applyAlignment="1">
      <alignment horizontal="center"/>
    </xf>
    <xf numFmtId="166" fontId="9" fillId="2" borderId="5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" fontId="9" fillId="2" borderId="4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1" fontId="9" fillId="2" borderId="4" xfId="0" applyNumberFormat="1" applyFont="1" applyFill="1" applyBorder="1" applyAlignment="1" applyProtection="1">
      <alignment horizontal="center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5" xfId="0" applyNumberFormat="1" applyFont="1" applyFill="1" applyBorder="1" applyAlignment="1" applyProtection="1">
      <alignment horizontal="center"/>
    </xf>
    <xf numFmtId="166" fontId="9" fillId="2" borderId="6" xfId="0" applyNumberFormat="1" applyFont="1" applyFill="1" applyBorder="1" applyAlignment="1">
      <alignment horizontal="center"/>
    </xf>
    <xf numFmtId="1" fontId="10" fillId="2" borderId="4" xfId="0" applyNumberFormat="1" applyFont="1" applyFill="1" applyBorder="1" applyAlignment="1" applyProtection="1">
      <alignment horizontal="center"/>
      <protection locked="0"/>
    </xf>
    <xf numFmtId="166" fontId="8" fillId="2" borderId="10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 applyProtection="1">
      <alignment horizontal="center"/>
    </xf>
    <xf numFmtId="1" fontId="6" fillId="3" borderId="4" xfId="0" applyNumberFormat="1" applyFont="1" applyFill="1" applyBorder="1" applyAlignment="1" applyProtection="1">
      <alignment horizontal="center"/>
      <protection locked="0"/>
    </xf>
    <xf numFmtId="1" fontId="6" fillId="3" borderId="5" xfId="0" applyNumberFormat="1" applyFont="1" applyFill="1" applyBorder="1" applyAlignment="1" applyProtection="1">
      <alignment horizontal="center"/>
    </xf>
    <xf numFmtId="166" fontId="6" fillId="3" borderId="6" xfId="0" applyNumberFormat="1" applyFont="1" applyFill="1" applyBorder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166" fontId="5" fillId="3" borderId="10" xfId="0" applyNumberFormat="1" applyFont="1" applyFill="1" applyBorder="1" applyAlignment="1">
      <alignment horizontal="center"/>
    </xf>
    <xf numFmtId="2" fontId="8" fillId="2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67" fontId="8" fillId="2" borderId="7" xfId="0" applyNumberFormat="1" applyFont="1" applyFill="1" applyBorder="1" applyAlignment="1">
      <alignment horizontal="center"/>
    </xf>
    <xf numFmtId="167" fontId="5" fillId="3" borderId="7" xfId="0" applyNumberFormat="1" applyFont="1" applyFill="1" applyBorder="1" applyAlignment="1">
      <alignment horizontal="center"/>
    </xf>
    <xf numFmtId="167" fontId="6" fillId="3" borderId="5" xfId="0" applyNumberFormat="1" applyFont="1" applyFill="1" applyBorder="1" applyAlignment="1">
      <alignment horizontal="center"/>
    </xf>
    <xf numFmtId="167" fontId="9" fillId="2" borderId="5" xfId="0" applyNumberFormat="1" applyFont="1" applyFill="1" applyBorder="1" applyAlignment="1">
      <alignment horizontal="center"/>
    </xf>
    <xf numFmtId="167" fontId="4" fillId="0" borderId="0" xfId="0" applyNumberFormat="1" applyFont="1"/>
    <xf numFmtId="0" fontId="13" fillId="0" borderId="0" xfId="0" applyFont="1"/>
    <xf numFmtId="0" fontId="4" fillId="0" borderId="1" xfId="0" applyFont="1" applyBorder="1" applyAlignment="1">
      <alignment horizontal="center" wrapText="1"/>
    </xf>
    <xf numFmtId="167" fontId="4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6" fillId="0" borderId="12" xfId="0" applyFont="1" applyBorder="1"/>
    <xf numFmtId="167" fontId="4" fillId="0" borderId="13" xfId="0" applyNumberFormat="1" applyFont="1" applyBorder="1" applyAlignment="1">
      <alignment horizontal="center"/>
    </xf>
    <xf numFmtId="0" fontId="4" fillId="0" borderId="14" xfId="0" applyFont="1" applyBorder="1"/>
    <xf numFmtId="167" fontId="4" fillId="0" borderId="15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18" xfId="0" applyFont="1" applyBorder="1"/>
    <xf numFmtId="167" fontId="6" fillId="0" borderId="19" xfId="0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0" fontId="4" fillId="0" borderId="16" xfId="0" applyFont="1" applyBorder="1"/>
    <xf numFmtId="167" fontId="4" fillId="0" borderId="17" xfId="0" applyNumberFormat="1" applyFont="1" applyBorder="1" applyAlignment="1">
      <alignment horizontal="center"/>
    </xf>
    <xf numFmtId="167" fontId="6" fillId="0" borderId="19" xfId="0" applyNumberFormat="1" applyFont="1" applyBorder="1" applyAlignment="1">
      <alignment horizontal="center"/>
    </xf>
    <xf numFmtId="0" fontId="6" fillId="0" borderId="1" xfId="0" applyFont="1" applyBorder="1"/>
    <xf numFmtId="167" fontId="6" fillId="0" borderId="17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13" fillId="0" borderId="0" xfId="0" applyNumberFormat="1" applyFont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006633"/>
      <color rgb="FF00B806"/>
      <color rgb="FF7A0019"/>
      <color rgb="FFFFCC33"/>
      <color rgb="FF0089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63</xdr:row>
      <xdr:rowOff>50800</xdr:rowOff>
    </xdr:from>
    <xdr:to>
      <xdr:col>6</xdr:col>
      <xdr:colOff>185185</xdr:colOff>
      <xdr:row>68</xdr:row>
      <xdr:rowOff>3048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2674600"/>
          <a:ext cx="3918985" cy="841248"/>
        </a:xfrm>
        <a:prstGeom prst="rect">
          <a:avLst/>
        </a:prstGeom>
      </xdr:spPr>
    </xdr:pic>
    <xdr:clientData/>
  </xdr:twoCellAnchor>
  <xdr:twoCellAnchor editAs="oneCell">
    <xdr:from>
      <xdr:col>7</xdr:col>
      <xdr:colOff>635000</xdr:colOff>
      <xdr:row>63</xdr:row>
      <xdr:rowOff>50800</xdr:rowOff>
    </xdr:from>
    <xdr:to>
      <xdr:col>10</xdr:col>
      <xdr:colOff>548640</xdr:colOff>
      <xdr:row>68</xdr:row>
      <xdr:rowOff>145334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2400" y="12674600"/>
          <a:ext cx="2326640" cy="983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5"/>
  <sheetViews>
    <sheetView tabSelected="1" zoomScaleNormal="100" workbookViewId="0">
      <selection activeCell="C3" sqref="C3"/>
    </sheetView>
  </sheetViews>
  <sheetFormatPr baseColWidth="10" defaultColWidth="8.83203125" defaultRowHeight="14" x14ac:dyDescent="0.15"/>
  <cols>
    <col min="1" max="2" width="2.6640625" style="4" customWidth="1"/>
    <col min="3" max="3" width="21.1640625" style="4" customWidth="1"/>
    <col min="4" max="4" width="5.83203125" style="4" customWidth="1"/>
    <col min="5" max="5" width="8.83203125" style="8" customWidth="1"/>
    <col min="6" max="6" width="9.83203125" style="8" customWidth="1"/>
    <col min="7" max="7" width="8.83203125" style="8"/>
    <col min="8" max="8" width="10.33203125" style="8" customWidth="1"/>
    <col min="9" max="9" width="10.5" style="4" customWidth="1"/>
    <col min="10" max="10" width="10.83203125" style="4" customWidth="1"/>
    <col min="11" max="11" width="10.1640625" style="25" customWidth="1"/>
    <col min="12" max="12" width="9.6640625" style="4" customWidth="1"/>
    <col min="13" max="16384" width="8.83203125" style="4"/>
  </cols>
  <sheetData>
    <row r="1" spans="1:13" ht="49" thickBot="1" x14ac:dyDescent="0.2">
      <c r="A1" s="1"/>
      <c r="B1" s="1"/>
      <c r="C1" s="1"/>
      <c r="D1" s="1"/>
      <c r="E1" s="2" t="s">
        <v>0</v>
      </c>
      <c r="F1" s="3" t="s">
        <v>1</v>
      </c>
      <c r="G1" s="3" t="s">
        <v>2</v>
      </c>
      <c r="H1" s="3" t="s">
        <v>59</v>
      </c>
      <c r="I1" s="80" t="s">
        <v>59</v>
      </c>
      <c r="J1" s="80" t="s">
        <v>119</v>
      </c>
      <c r="K1" s="69" t="s">
        <v>113</v>
      </c>
      <c r="L1" s="81" t="s">
        <v>114</v>
      </c>
    </row>
    <row r="2" spans="1:13" ht="16" x14ac:dyDescent="0.2">
      <c r="A2" s="5" t="s">
        <v>3</v>
      </c>
      <c r="D2" s="6"/>
      <c r="E2" s="7"/>
      <c r="F2" s="7"/>
      <c r="G2" s="7"/>
      <c r="H2" s="7"/>
      <c r="I2" s="58"/>
      <c r="J2" s="58"/>
      <c r="K2" s="70"/>
      <c r="L2" s="68"/>
      <c r="M2" s="4" t="s">
        <v>116</v>
      </c>
    </row>
    <row r="3" spans="1:13" x14ac:dyDescent="0.15">
      <c r="B3" s="4" t="s">
        <v>4</v>
      </c>
      <c r="D3" s="6"/>
      <c r="E3" s="9">
        <v>210</v>
      </c>
      <c r="F3" s="7" t="s">
        <v>5</v>
      </c>
      <c r="G3" s="10"/>
      <c r="H3" s="10"/>
      <c r="I3" s="48">
        <v>2888.7599999999998</v>
      </c>
      <c r="J3" s="48">
        <v>18.099999999999998</v>
      </c>
      <c r="K3" s="42">
        <f>SUM(H4:H8)</f>
        <v>2888.7599999999998</v>
      </c>
      <c r="L3" s="42">
        <f>K3/($E$3*$D$11)</f>
        <v>18.099999999999998</v>
      </c>
    </row>
    <row r="4" spans="1:13" x14ac:dyDescent="0.15">
      <c r="C4" s="4" t="s">
        <v>6</v>
      </c>
      <c r="D4" s="12">
        <v>0.68</v>
      </c>
      <c r="E4" s="13">
        <f>$E$3*$D$11*D4</f>
        <v>108.52800000000001</v>
      </c>
      <c r="F4" s="7" t="s">
        <v>5</v>
      </c>
      <c r="G4" s="14">
        <v>15</v>
      </c>
      <c r="H4" s="10">
        <f>E4*G4</f>
        <v>1627.92</v>
      </c>
      <c r="I4" s="59"/>
      <c r="J4" s="49"/>
      <c r="K4" s="71"/>
      <c r="L4" s="11"/>
    </row>
    <row r="5" spans="1:13" x14ac:dyDescent="0.15">
      <c r="C5" s="4" t="s">
        <v>57</v>
      </c>
      <c r="D5" s="12">
        <v>7.0000000000000007E-2</v>
      </c>
      <c r="E5" s="13">
        <f>$E$3*$D$11*D5</f>
        <v>11.172000000000001</v>
      </c>
      <c r="F5" s="7" t="s">
        <v>5</v>
      </c>
      <c r="G5" s="14">
        <v>5</v>
      </c>
      <c r="H5" s="10">
        <f>E5*G5</f>
        <v>55.86</v>
      </c>
      <c r="I5" s="59"/>
      <c r="J5" s="49"/>
      <c r="K5" s="71"/>
      <c r="L5" s="11"/>
    </row>
    <row r="6" spans="1:13" x14ac:dyDescent="0.15">
      <c r="C6" s="4" t="s">
        <v>7</v>
      </c>
      <c r="D6" s="12">
        <v>0.15</v>
      </c>
      <c r="E6" s="13">
        <f>$E$3*$D$11*D6</f>
        <v>23.939999999999998</v>
      </c>
      <c r="F6" s="7" t="s">
        <v>5</v>
      </c>
      <c r="G6" s="14">
        <v>32</v>
      </c>
      <c r="H6" s="10">
        <f>E6*G6</f>
        <v>766.07999999999993</v>
      </c>
      <c r="I6" s="59"/>
      <c r="J6" s="49"/>
      <c r="K6" s="71"/>
      <c r="L6" s="11"/>
    </row>
    <row r="7" spans="1:13" x14ac:dyDescent="0.15">
      <c r="C7" s="4" t="s">
        <v>58</v>
      </c>
      <c r="D7" s="12">
        <v>0.05</v>
      </c>
      <c r="E7" s="13">
        <f>$E$3*$D$11*D7</f>
        <v>7.98</v>
      </c>
      <c r="F7" s="7" t="s">
        <v>5</v>
      </c>
      <c r="G7" s="14">
        <v>10</v>
      </c>
      <c r="H7" s="10">
        <f>E7*G7</f>
        <v>79.800000000000011</v>
      </c>
      <c r="I7" s="59"/>
      <c r="J7" s="49"/>
      <c r="K7" s="71"/>
      <c r="L7" s="11"/>
    </row>
    <row r="8" spans="1:13" x14ac:dyDescent="0.15">
      <c r="C8" s="4" t="s">
        <v>8</v>
      </c>
      <c r="D8" s="12">
        <v>0.05</v>
      </c>
      <c r="E8" s="13">
        <f>$E$3*$D$11*D8</f>
        <v>7.98</v>
      </c>
      <c r="F8" s="7" t="s">
        <v>5</v>
      </c>
      <c r="G8" s="14">
        <v>45</v>
      </c>
      <c r="H8" s="10">
        <f>E8*G8</f>
        <v>359.1</v>
      </c>
      <c r="I8" s="59"/>
      <c r="J8" s="49"/>
      <c r="K8" s="71"/>
      <c r="L8" s="11"/>
    </row>
    <row r="9" spans="1:13" x14ac:dyDescent="0.15">
      <c r="C9" s="4" t="s">
        <v>9</v>
      </c>
      <c r="D9" s="12">
        <v>0.12</v>
      </c>
      <c r="E9" s="7"/>
      <c r="F9" s="7"/>
      <c r="G9" s="10"/>
      <c r="H9" s="10"/>
      <c r="I9" s="59"/>
      <c r="J9" s="49"/>
      <c r="K9" s="71"/>
      <c r="L9" s="11"/>
    </row>
    <row r="10" spans="1:13" x14ac:dyDescent="0.15">
      <c r="C10" s="4" t="s">
        <v>10</v>
      </c>
      <c r="D10" s="12">
        <v>0.12</v>
      </c>
      <c r="E10" s="7"/>
      <c r="F10" s="7"/>
      <c r="G10" s="10"/>
      <c r="H10" s="10"/>
      <c r="I10" s="59"/>
      <c r="J10" s="49"/>
      <c r="K10" s="71"/>
      <c r="L10" s="11"/>
    </row>
    <row r="11" spans="1:13" x14ac:dyDescent="0.15">
      <c r="A11" s="1"/>
      <c r="B11" s="1"/>
      <c r="C11" s="15" t="s">
        <v>11</v>
      </c>
      <c r="D11" s="16">
        <f>1-(D9+D10)</f>
        <v>0.76</v>
      </c>
      <c r="E11" s="7"/>
      <c r="F11" s="17"/>
      <c r="G11" s="18"/>
      <c r="H11" s="18"/>
      <c r="I11" s="60"/>
      <c r="J11" s="50"/>
      <c r="K11" s="72"/>
      <c r="L11" s="19"/>
    </row>
    <row r="12" spans="1:13" x14ac:dyDescent="0.15">
      <c r="A12" s="20"/>
      <c r="B12" s="20"/>
      <c r="C12" s="20"/>
      <c r="D12" s="21"/>
      <c r="E12" s="22"/>
      <c r="F12" s="22"/>
      <c r="G12" s="23"/>
      <c r="H12" s="23"/>
      <c r="I12" s="61"/>
      <c r="J12" s="50"/>
      <c r="K12" s="73"/>
      <c r="L12" s="19"/>
    </row>
    <row r="13" spans="1:13" ht="16" x14ac:dyDescent="0.2">
      <c r="A13" s="5" t="s">
        <v>12</v>
      </c>
      <c r="D13" s="6"/>
      <c r="E13" s="7"/>
      <c r="F13" s="7"/>
      <c r="G13" s="10"/>
      <c r="H13" s="10"/>
      <c r="I13" s="62"/>
      <c r="J13" s="51"/>
      <c r="K13" s="74"/>
      <c r="L13" s="43"/>
    </row>
    <row r="14" spans="1:13" x14ac:dyDescent="0.15">
      <c r="B14" s="4" t="s">
        <v>13</v>
      </c>
      <c r="D14" s="6"/>
      <c r="E14" s="7"/>
      <c r="F14" s="7"/>
      <c r="G14" s="10"/>
      <c r="H14" s="10"/>
      <c r="I14" s="63">
        <v>297</v>
      </c>
      <c r="J14" s="51">
        <v>1.8609022556390977</v>
      </c>
      <c r="K14" s="75">
        <f>SUM(H15:H17)</f>
        <v>297</v>
      </c>
      <c r="L14" s="43">
        <f>K14/($E$3*$D$11)</f>
        <v>1.8609022556390977</v>
      </c>
    </row>
    <row r="15" spans="1:13" x14ac:dyDescent="0.15">
      <c r="C15" s="4" t="s">
        <v>14</v>
      </c>
      <c r="D15" s="6"/>
      <c r="E15" s="9">
        <v>22</v>
      </c>
      <c r="F15" s="7" t="s">
        <v>5</v>
      </c>
      <c r="G15" s="14">
        <v>12</v>
      </c>
      <c r="H15" s="10">
        <f>G15*E15</f>
        <v>264</v>
      </c>
      <c r="I15" s="62"/>
      <c r="J15" s="51"/>
      <c r="K15" s="74"/>
      <c r="L15" s="43"/>
    </row>
    <row r="16" spans="1:13" x14ac:dyDescent="0.15">
      <c r="C16" s="4" t="s">
        <v>15</v>
      </c>
      <c r="D16" s="6"/>
      <c r="E16" s="7">
        <f>E15</f>
        <v>22</v>
      </c>
      <c r="F16" s="7" t="s">
        <v>5</v>
      </c>
      <c r="G16" s="14">
        <v>1</v>
      </c>
      <c r="H16" s="10">
        <f>G16*E16</f>
        <v>22</v>
      </c>
      <c r="I16" s="62"/>
      <c r="J16" s="51"/>
      <c r="K16" s="74"/>
      <c r="L16" s="43"/>
    </row>
    <row r="17" spans="2:12" x14ac:dyDescent="0.15">
      <c r="C17" s="4" t="s">
        <v>16</v>
      </c>
      <c r="D17" s="6"/>
      <c r="E17" s="7">
        <f>E15</f>
        <v>22</v>
      </c>
      <c r="F17" s="7" t="s">
        <v>5</v>
      </c>
      <c r="G17" s="14">
        <v>0.5</v>
      </c>
      <c r="H17" s="10">
        <f>G17*E17</f>
        <v>11</v>
      </c>
      <c r="I17" s="62"/>
      <c r="J17" s="51"/>
      <c r="K17" s="74"/>
      <c r="L17" s="43"/>
    </row>
    <row r="18" spans="2:12" x14ac:dyDescent="0.15">
      <c r="D18" s="6"/>
      <c r="E18" s="7"/>
      <c r="F18" s="7"/>
      <c r="G18" s="10"/>
      <c r="H18" s="10"/>
      <c r="I18" s="62"/>
      <c r="J18" s="51"/>
      <c r="K18" s="74"/>
      <c r="L18" s="43"/>
    </row>
    <row r="19" spans="2:12" x14ac:dyDescent="0.15">
      <c r="B19" s="4" t="s">
        <v>17</v>
      </c>
      <c r="D19" s="6"/>
      <c r="E19" s="7"/>
      <c r="F19" s="7"/>
      <c r="G19" s="10"/>
      <c r="H19" s="10">
        <f>'Fert &amp; Chem'!I11</f>
        <v>161.80549999999999</v>
      </c>
      <c r="I19" s="63">
        <v>161.80549999999999</v>
      </c>
      <c r="J19" s="51">
        <v>1.0138189223057643</v>
      </c>
      <c r="K19" s="75">
        <f>H19</f>
        <v>161.80549999999999</v>
      </c>
      <c r="L19" s="43">
        <f>K19/($E$3*$D$11)</f>
        <v>1.0138189223057643</v>
      </c>
    </row>
    <row r="20" spans="2:12" x14ac:dyDescent="0.15">
      <c r="B20" s="4" t="s">
        <v>18</v>
      </c>
      <c r="D20" s="6"/>
      <c r="E20" s="7"/>
      <c r="F20" s="7"/>
      <c r="G20" s="10"/>
      <c r="H20" s="10"/>
      <c r="I20" s="63">
        <v>314.95546875000002</v>
      </c>
      <c r="J20" s="51">
        <v>1.9734051926691731</v>
      </c>
      <c r="K20" s="75">
        <f>SUM(H21:H24)</f>
        <v>314.95546875000002</v>
      </c>
      <c r="L20" s="43">
        <f>K20/($E$3*$D$11)</f>
        <v>1.9734051926691731</v>
      </c>
    </row>
    <row r="21" spans="2:12" x14ac:dyDescent="0.15">
      <c r="C21" s="4" t="s">
        <v>19</v>
      </c>
      <c r="D21" s="6"/>
      <c r="E21" s="7"/>
      <c r="F21" s="7"/>
      <c r="G21" s="10"/>
      <c r="H21" s="14">
        <f>'Fert &amp; Chem'!I23</f>
        <v>48.2578125</v>
      </c>
      <c r="I21" s="62"/>
      <c r="J21" s="51"/>
      <c r="K21" s="74"/>
      <c r="L21" s="43"/>
    </row>
    <row r="22" spans="2:12" x14ac:dyDescent="0.15">
      <c r="C22" s="4" t="s">
        <v>118</v>
      </c>
      <c r="D22" s="6"/>
      <c r="E22" s="7"/>
      <c r="F22" s="7"/>
      <c r="G22" s="10"/>
      <c r="H22" s="14">
        <f>'Fert &amp; Chem'!I31</f>
        <v>22.9</v>
      </c>
      <c r="I22" s="62"/>
      <c r="J22" s="51"/>
      <c r="K22" s="74"/>
      <c r="L22" s="43"/>
    </row>
    <row r="23" spans="2:12" x14ac:dyDescent="0.15">
      <c r="C23" s="4" t="s">
        <v>21</v>
      </c>
      <c r="D23" s="6"/>
      <c r="E23" s="7"/>
      <c r="F23" s="7"/>
      <c r="G23" s="10"/>
      <c r="H23" s="14">
        <f>'Fert &amp; Chem'!I39</f>
        <v>83.168750000000003</v>
      </c>
      <c r="I23" s="62"/>
      <c r="J23" s="51"/>
      <c r="K23" s="74"/>
      <c r="L23" s="43"/>
    </row>
    <row r="24" spans="2:12" x14ac:dyDescent="0.15">
      <c r="C24" s="4" t="s">
        <v>22</v>
      </c>
      <c r="D24" s="6"/>
      <c r="E24" s="7"/>
      <c r="F24" s="7"/>
      <c r="G24" s="10"/>
      <c r="H24" s="14">
        <f>'Fert &amp; Chem'!I56</f>
        <v>160.62890625</v>
      </c>
      <c r="I24" s="62"/>
      <c r="J24" s="51"/>
      <c r="K24" s="74"/>
      <c r="L24" s="43"/>
    </row>
    <row r="25" spans="2:12" x14ac:dyDescent="0.15">
      <c r="B25" s="4" t="s">
        <v>23</v>
      </c>
      <c r="D25" s="6"/>
      <c r="E25" s="7"/>
      <c r="F25" s="7"/>
      <c r="G25" s="10"/>
      <c r="H25" s="10"/>
      <c r="I25" s="63">
        <v>89</v>
      </c>
      <c r="J25" s="51">
        <v>0.55764411027568928</v>
      </c>
      <c r="K25" s="75">
        <f>SUM(H26:H29)</f>
        <v>89</v>
      </c>
      <c r="L25" s="43">
        <f>K25/($E$3*$D$11)</f>
        <v>0.55764411027568928</v>
      </c>
    </row>
    <row r="26" spans="2:12" x14ac:dyDescent="0.15">
      <c r="C26" s="4" t="s">
        <v>97</v>
      </c>
      <c r="D26" s="6"/>
      <c r="E26" s="9">
        <v>1</v>
      </c>
      <c r="F26" s="7" t="s">
        <v>24</v>
      </c>
      <c r="G26" s="14">
        <v>7</v>
      </c>
      <c r="H26" s="10">
        <f>G26*E26</f>
        <v>7</v>
      </c>
      <c r="I26" s="62"/>
      <c r="J26" s="51"/>
      <c r="K26" s="74"/>
      <c r="L26" s="43"/>
    </row>
    <row r="27" spans="2:12" x14ac:dyDescent="0.15">
      <c r="C27" s="4" t="s">
        <v>25</v>
      </c>
      <c r="D27" s="6"/>
      <c r="E27" s="9">
        <v>1</v>
      </c>
      <c r="F27" s="7" t="s">
        <v>26</v>
      </c>
      <c r="G27" s="14">
        <v>11</v>
      </c>
      <c r="H27" s="10">
        <f>G27*E27</f>
        <v>11</v>
      </c>
      <c r="I27" s="62"/>
      <c r="J27" s="51"/>
      <c r="K27" s="74"/>
      <c r="L27" s="43"/>
    </row>
    <row r="28" spans="2:12" x14ac:dyDescent="0.15">
      <c r="C28" s="4" t="s">
        <v>60</v>
      </c>
      <c r="D28" s="6"/>
      <c r="E28" s="9">
        <v>7</v>
      </c>
      <c r="F28" s="7" t="s">
        <v>27</v>
      </c>
      <c r="G28" s="14">
        <v>6.5</v>
      </c>
      <c r="H28" s="10">
        <f>G28*E28</f>
        <v>45.5</v>
      </c>
      <c r="I28" s="62"/>
      <c r="J28" s="51"/>
      <c r="K28" s="74"/>
      <c r="L28" s="43"/>
    </row>
    <row r="29" spans="2:12" x14ac:dyDescent="0.15">
      <c r="C29" s="4" t="s">
        <v>61</v>
      </c>
      <c r="D29" s="6"/>
      <c r="E29" s="9">
        <v>3</v>
      </c>
      <c r="F29" s="7" t="s">
        <v>27</v>
      </c>
      <c r="G29" s="14">
        <v>8.5</v>
      </c>
      <c r="H29" s="10">
        <f>G29*E29</f>
        <v>25.5</v>
      </c>
      <c r="I29" s="62"/>
      <c r="J29" s="51"/>
      <c r="K29" s="74"/>
      <c r="L29" s="43"/>
    </row>
    <row r="30" spans="2:12" x14ac:dyDescent="0.15">
      <c r="B30" s="4" t="s">
        <v>28</v>
      </c>
      <c r="D30" s="6"/>
      <c r="E30" s="10"/>
      <c r="F30" s="7"/>
      <c r="G30" s="10"/>
      <c r="H30" s="10"/>
      <c r="I30" s="63">
        <v>155.45614446776074</v>
      </c>
      <c r="J30" s="51">
        <v>0.97403599290576903</v>
      </c>
      <c r="K30" s="75">
        <f>SUM(H31:H35)</f>
        <v>155.45614446776074</v>
      </c>
      <c r="L30" s="43">
        <f>K30/($E$3*$D$11)</f>
        <v>0.97403599290576903</v>
      </c>
    </row>
    <row r="31" spans="2:12" x14ac:dyDescent="0.15">
      <c r="C31" s="4" t="s">
        <v>29</v>
      </c>
      <c r="D31" s="6"/>
      <c r="E31" s="14">
        <v>3.0960000000000001</v>
      </c>
      <c r="F31" s="7" t="s">
        <v>30</v>
      </c>
      <c r="G31" s="14">
        <v>2.4</v>
      </c>
      <c r="H31" s="10">
        <f>E31*G31</f>
        <v>7.4303999999999997</v>
      </c>
      <c r="I31" s="62"/>
      <c r="J31" s="51"/>
      <c r="K31" s="74"/>
      <c r="L31" s="43"/>
    </row>
    <row r="32" spans="2:12" x14ac:dyDescent="0.15">
      <c r="C32" s="4" t="s">
        <v>31</v>
      </c>
      <c r="D32" s="6"/>
      <c r="E32" s="14">
        <v>13.709870863599676</v>
      </c>
      <c r="F32" s="7" t="s">
        <v>30</v>
      </c>
      <c r="G32" s="14">
        <v>2</v>
      </c>
      <c r="H32" s="10">
        <f>E32*G32</f>
        <v>27.419741727199352</v>
      </c>
      <c r="I32" s="62"/>
      <c r="J32" s="51"/>
      <c r="K32" s="74"/>
      <c r="L32" s="43"/>
    </row>
    <row r="33" spans="1:12" x14ac:dyDescent="0.15">
      <c r="C33" s="4" t="s">
        <v>32</v>
      </c>
      <c r="D33" s="6"/>
      <c r="E33" s="14">
        <v>8.06</v>
      </c>
      <c r="F33" s="7" t="s">
        <v>30</v>
      </c>
      <c r="G33" s="14">
        <v>2.6</v>
      </c>
      <c r="H33" s="10">
        <f>E33*G33</f>
        <v>20.956000000000003</v>
      </c>
      <c r="I33" s="62"/>
      <c r="J33" s="51"/>
      <c r="K33" s="74"/>
      <c r="L33" s="43"/>
    </row>
    <row r="34" spans="1:12" x14ac:dyDescent="0.15">
      <c r="C34" s="4" t="s">
        <v>33</v>
      </c>
      <c r="D34" s="6"/>
      <c r="E34" s="7"/>
      <c r="F34" s="7"/>
      <c r="G34" s="10"/>
      <c r="H34" s="14">
        <v>7.6455212590799047</v>
      </c>
      <c r="I34" s="62"/>
      <c r="J34" s="51"/>
      <c r="K34" s="74"/>
      <c r="L34" s="43"/>
    </row>
    <row r="35" spans="1:12" x14ac:dyDescent="0.15">
      <c r="C35" s="4" t="s">
        <v>34</v>
      </c>
      <c r="D35" s="6"/>
      <c r="E35" s="7"/>
      <c r="F35" s="7"/>
      <c r="G35" s="10"/>
      <c r="H35" s="14">
        <v>92.004481481481491</v>
      </c>
      <c r="I35" s="62"/>
      <c r="J35" s="51"/>
      <c r="K35" s="74"/>
      <c r="L35" s="43"/>
    </row>
    <row r="36" spans="1:12" x14ac:dyDescent="0.15">
      <c r="B36" s="4" t="s">
        <v>35</v>
      </c>
      <c r="D36" s="6"/>
      <c r="E36" s="7"/>
      <c r="F36" s="7"/>
      <c r="G36" s="10"/>
      <c r="H36" s="10"/>
      <c r="I36" s="63">
        <v>93.603029459241327</v>
      </c>
      <c r="J36" s="51">
        <v>0.58648514698772758</v>
      </c>
      <c r="K36" s="75">
        <f>SUM(H37:H39)</f>
        <v>93.603029459241327</v>
      </c>
      <c r="L36" s="43">
        <f>K36/($E$3*$D$11)</f>
        <v>0.58648514698772758</v>
      </c>
    </row>
    <row r="37" spans="1:12" x14ac:dyDescent="0.15">
      <c r="C37" s="4" t="s">
        <v>36</v>
      </c>
      <c r="D37" s="6"/>
      <c r="E37" s="26">
        <v>1.33797874630078</v>
      </c>
      <c r="F37" s="7" t="s">
        <v>37</v>
      </c>
      <c r="G37" s="14">
        <v>22</v>
      </c>
      <c r="H37" s="10">
        <f>G37*E37</f>
        <v>29.435532418617157</v>
      </c>
      <c r="I37" s="62"/>
      <c r="J37" s="51"/>
      <c r="K37" s="74"/>
      <c r="L37" s="43"/>
    </row>
    <row r="38" spans="1:12" x14ac:dyDescent="0.15">
      <c r="C38" s="4" t="s">
        <v>38</v>
      </c>
      <c r="D38" s="6"/>
      <c r="E38" s="26">
        <v>2.8388571428571434</v>
      </c>
      <c r="F38" s="7" t="s">
        <v>37</v>
      </c>
      <c r="G38" s="14">
        <v>17</v>
      </c>
      <c r="H38" s="10">
        <f>G38*E38</f>
        <v>48.260571428571438</v>
      </c>
      <c r="I38" s="62"/>
      <c r="J38" s="51"/>
      <c r="K38" s="74"/>
      <c r="L38" s="43"/>
    </row>
    <row r="39" spans="1:12" x14ac:dyDescent="0.15">
      <c r="C39" s="4" t="s">
        <v>39</v>
      </c>
      <c r="D39" s="6"/>
      <c r="E39" s="26">
        <v>1.1362089722894808</v>
      </c>
      <c r="F39" s="7" t="s">
        <v>37</v>
      </c>
      <c r="G39" s="14">
        <v>14</v>
      </c>
      <c r="H39" s="10">
        <f>G39*E39</f>
        <v>15.906925612052731</v>
      </c>
      <c r="I39" s="62"/>
      <c r="J39" s="51"/>
      <c r="K39" s="74"/>
      <c r="L39" s="43"/>
    </row>
    <row r="40" spans="1:12" x14ac:dyDescent="0.15">
      <c r="B40" s="4" t="s">
        <v>40</v>
      </c>
      <c r="D40" s="6"/>
      <c r="E40" s="7"/>
      <c r="F40" s="7"/>
      <c r="G40" s="10"/>
      <c r="H40" s="10"/>
      <c r="I40" s="63">
        <v>756</v>
      </c>
      <c r="J40" s="51">
        <v>4.7368421052631584</v>
      </c>
      <c r="K40" s="75">
        <f>SUM(H41:H42)</f>
        <v>756</v>
      </c>
      <c r="L40" s="43">
        <f>K40/($E$3*$D$11)</f>
        <v>4.7368421052631584</v>
      </c>
    </row>
    <row r="41" spans="1:12" x14ac:dyDescent="0.15">
      <c r="C41" s="4" t="s">
        <v>41</v>
      </c>
      <c r="D41" s="6"/>
      <c r="E41" s="7">
        <f>E3</f>
        <v>210</v>
      </c>
      <c r="F41" s="7" t="s">
        <v>5</v>
      </c>
      <c r="G41" s="14">
        <v>0.75</v>
      </c>
      <c r="H41" s="10">
        <f>G41*E41</f>
        <v>157.5</v>
      </c>
      <c r="I41" s="62"/>
      <c r="J41" s="51"/>
      <c r="K41" s="74"/>
      <c r="L41" s="43"/>
    </row>
    <row r="42" spans="1:12" x14ac:dyDescent="0.15">
      <c r="C42" s="4" t="s">
        <v>42</v>
      </c>
      <c r="D42" s="6"/>
      <c r="E42" s="7">
        <f>E3*D11</f>
        <v>159.6</v>
      </c>
      <c r="F42" s="7" t="s">
        <v>5</v>
      </c>
      <c r="G42" s="14">
        <v>3.75</v>
      </c>
      <c r="H42" s="10">
        <f>G42*E42</f>
        <v>598.5</v>
      </c>
      <c r="I42" s="62"/>
      <c r="J42" s="51"/>
      <c r="K42" s="74"/>
      <c r="L42" s="43"/>
    </row>
    <row r="43" spans="1:12" x14ac:dyDescent="0.15">
      <c r="B43" s="4" t="s">
        <v>43</v>
      </c>
      <c r="D43" s="6"/>
      <c r="E43" s="7"/>
      <c r="F43" s="7"/>
      <c r="G43" s="10"/>
      <c r="H43" s="10"/>
      <c r="I43" s="63">
        <v>212.63530713385012</v>
      </c>
      <c r="J43" s="51">
        <v>1.3323014231444243</v>
      </c>
      <c r="K43" s="75">
        <f>SUM(H44:H46)</f>
        <v>212.63530713385012</v>
      </c>
      <c r="L43" s="43">
        <f>K43/($E$3*$D$11)</f>
        <v>1.3323014231444243</v>
      </c>
    </row>
    <row r="44" spans="1:12" x14ac:dyDescent="0.15">
      <c r="C44" s="4" t="s">
        <v>44</v>
      </c>
      <c r="D44" s="6"/>
      <c r="E44" s="7">
        <v>1</v>
      </c>
      <c r="F44" s="7" t="s">
        <v>26</v>
      </c>
      <c r="G44" s="14">
        <v>100</v>
      </c>
      <c r="H44" s="10">
        <f>G44*E44</f>
        <v>100</v>
      </c>
      <c r="I44" s="62"/>
      <c r="J44" s="51"/>
      <c r="K44" s="74"/>
      <c r="L44" s="43"/>
    </row>
    <row r="45" spans="1:12" x14ac:dyDescent="0.15">
      <c r="C45" s="4" t="s">
        <v>45</v>
      </c>
      <c r="D45" s="6"/>
      <c r="E45" s="7">
        <f>$E$3*$D$11</f>
        <v>159.6</v>
      </c>
      <c r="F45" s="7" t="s">
        <v>5</v>
      </c>
      <c r="G45" s="27">
        <v>8.5000000000000006E-2</v>
      </c>
      <c r="H45" s="10">
        <f>G45*E45</f>
        <v>13.566000000000001</v>
      </c>
      <c r="I45" s="62"/>
      <c r="J45" s="51"/>
      <c r="K45" s="74"/>
      <c r="L45" s="43"/>
    </row>
    <row r="46" spans="1:12" x14ac:dyDescent="0.15">
      <c r="A46" s="1"/>
      <c r="B46" s="1"/>
      <c r="C46" s="1" t="s">
        <v>46</v>
      </c>
      <c r="D46" s="1"/>
      <c r="E46" s="28"/>
      <c r="F46" s="28"/>
      <c r="G46" s="29"/>
      <c r="H46" s="29">
        <f>SUM(K14:K42,H44:H45)*0.05</f>
        <v>99.069307133850117</v>
      </c>
      <c r="I46" s="64"/>
      <c r="J46" s="52"/>
      <c r="K46" s="76"/>
      <c r="L46" s="44"/>
    </row>
    <row r="47" spans="1:12" x14ac:dyDescent="0.15">
      <c r="A47" s="30" t="s">
        <v>47</v>
      </c>
      <c r="B47" s="20"/>
      <c r="C47" s="20"/>
      <c r="D47" s="20"/>
      <c r="E47" s="24"/>
      <c r="F47" s="24"/>
      <c r="G47" s="31"/>
      <c r="H47" s="31"/>
      <c r="I47" s="65">
        <v>2080.4554498108523</v>
      </c>
      <c r="J47" s="53">
        <v>13.035435149190805</v>
      </c>
      <c r="K47" s="77">
        <f>SUM(K14:K46)</f>
        <v>2080.4554498108523</v>
      </c>
      <c r="L47" s="45">
        <f>K47/($E$3*$D$11)</f>
        <v>13.035435149190805</v>
      </c>
    </row>
    <row r="48" spans="1:12" x14ac:dyDescent="0.15">
      <c r="G48" s="32"/>
      <c r="H48" s="32"/>
      <c r="I48" s="59"/>
      <c r="J48" s="54"/>
      <c r="K48" s="71"/>
      <c r="L48" s="46"/>
    </row>
    <row r="49" spans="1:12" x14ac:dyDescent="0.15">
      <c r="A49" s="4" t="s">
        <v>48</v>
      </c>
      <c r="G49" s="32"/>
      <c r="H49" s="32">
        <f>K3-K47</f>
        <v>808.30455018914745</v>
      </c>
      <c r="I49" s="59"/>
      <c r="J49" s="54"/>
      <c r="K49" s="71"/>
      <c r="L49" s="46"/>
    </row>
    <row r="50" spans="1:12" x14ac:dyDescent="0.15">
      <c r="A50" s="1"/>
      <c r="B50" s="1"/>
      <c r="C50" s="1"/>
      <c r="D50" s="1"/>
      <c r="E50" s="28"/>
      <c r="F50" s="28"/>
      <c r="G50" s="29"/>
      <c r="H50" s="29"/>
      <c r="I50" s="60"/>
      <c r="J50" s="55"/>
      <c r="K50" s="72"/>
      <c r="L50" s="47"/>
    </row>
    <row r="51" spans="1:12" x14ac:dyDescent="0.15">
      <c r="A51" s="34" t="s">
        <v>49</v>
      </c>
      <c r="G51" s="32"/>
      <c r="H51" s="32"/>
      <c r="I51" s="59"/>
      <c r="J51" s="54"/>
      <c r="K51" s="71"/>
      <c r="L51" s="46"/>
    </row>
    <row r="52" spans="1:12" x14ac:dyDescent="0.15">
      <c r="B52" s="4" t="s">
        <v>120</v>
      </c>
      <c r="G52" s="32"/>
      <c r="I52" s="66">
        <v>13.176454666666666</v>
      </c>
      <c r="J52" s="54">
        <v>8.2559239766081871E-2</v>
      </c>
      <c r="K52" s="78">
        <v>13.176454666666666</v>
      </c>
      <c r="L52" s="46">
        <f>K52/($E$3*$D$11)</f>
        <v>8.2559239766081871E-2</v>
      </c>
    </row>
    <row r="53" spans="1:12" x14ac:dyDescent="0.15">
      <c r="B53" s="4" t="s">
        <v>50</v>
      </c>
      <c r="G53" s="32"/>
      <c r="I53" s="66">
        <v>198.48274133333331</v>
      </c>
      <c r="J53" s="54">
        <v>1.2436261988304091</v>
      </c>
      <c r="K53" s="78">
        <v>198.48274133333331</v>
      </c>
      <c r="L53" s="46">
        <f>K53/($E$3*$D$11)</f>
        <v>1.2436261988304091</v>
      </c>
    </row>
    <row r="54" spans="1:12" x14ac:dyDescent="0.15">
      <c r="B54" s="4" t="s">
        <v>51</v>
      </c>
      <c r="G54" s="32"/>
      <c r="I54" s="66">
        <v>175</v>
      </c>
      <c r="J54" s="54">
        <v>1.0964912280701755</v>
      </c>
      <c r="K54" s="78">
        <v>175</v>
      </c>
      <c r="L54" s="46">
        <f>K54/($E$3*$D$11)</f>
        <v>1.0964912280701755</v>
      </c>
    </row>
    <row r="55" spans="1:12" x14ac:dyDescent="0.15">
      <c r="B55" s="4" t="s">
        <v>52</v>
      </c>
      <c r="G55" s="32"/>
      <c r="I55" s="66">
        <v>52.011386245271311</v>
      </c>
      <c r="J55" s="54">
        <v>0.32588587872977015</v>
      </c>
      <c r="K55" s="78">
        <f>K47*0.025</f>
        <v>52.011386245271311</v>
      </c>
      <c r="L55" s="46">
        <f>K55/($E$3*$D$11)</f>
        <v>0.32588587872977015</v>
      </c>
    </row>
    <row r="56" spans="1:12" x14ac:dyDescent="0.15">
      <c r="B56" s="4" t="s">
        <v>53</v>
      </c>
      <c r="G56" s="32"/>
      <c r="I56" s="66">
        <v>104.02277249054262</v>
      </c>
      <c r="J56" s="54">
        <v>0.6517717574595403</v>
      </c>
      <c r="K56" s="78">
        <f>K47*0.05</f>
        <v>104.02277249054262</v>
      </c>
      <c r="L56" s="46">
        <f>K56/($E$3*$D$11)</f>
        <v>0.6517717574595403</v>
      </c>
    </row>
    <row r="57" spans="1:12" x14ac:dyDescent="0.15">
      <c r="A57" s="1"/>
      <c r="B57" s="1"/>
      <c r="C57" s="1"/>
      <c r="D57" s="1"/>
      <c r="E57" s="28"/>
      <c r="F57" s="28"/>
      <c r="G57" s="29"/>
      <c r="H57" s="29"/>
      <c r="I57" s="60"/>
      <c r="J57" s="56"/>
      <c r="K57" s="72"/>
      <c r="L57" s="33"/>
    </row>
    <row r="58" spans="1:12" x14ac:dyDescent="0.15">
      <c r="A58" s="30" t="s">
        <v>54</v>
      </c>
      <c r="B58" s="20"/>
      <c r="C58" s="20"/>
      <c r="D58" s="20"/>
      <c r="E58" s="24"/>
      <c r="F58" s="24"/>
      <c r="G58" s="31"/>
      <c r="H58" s="31"/>
      <c r="I58" s="65">
        <v>542.69335473581384</v>
      </c>
      <c r="J58" s="85">
        <v>3.4003343028559767</v>
      </c>
      <c r="K58" s="77">
        <f>SUM(K52:K57)</f>
        <v>542.69335473581384</v>
      </c>
      <c r="L58" s="84">
        <f>K58/($E$3*$D$11)</f>
        <v>3.4003343028559767</v>
      </c>
    </row>
    <row r="59" spans="1:12" x14ac:dyDescent="0.15">
      <c r="A59" s="1"/>
      <c r="B59" s="1"/>
      <c r="C59" s="1"/>
      <c r="D59" s="1"/>
      <c r="E59" s="28"/>
      <c r="F59" s="28"/>
      <c r="G59" s="29"/>
      <c r="H59" s="29"/>
      <c r="I59" s="57"/>
      <c r="J59" s="57"/>
      <c r="K59" s="41"/>
      <c r="L59" s="41"/>
    </row>
    <row r="60" spans="1:12" x14ac:dyDescent="0.15">
      <c r="A60" s="30" t="s">
        <v>55</v>
      </c>
      <c r="B60" s="20"/>
      <c r="C60" s="20"/>
      <c r="D60" s="20"/>
      <c r="E60" s="24"/>
      <c r="F60" s="24"/>
      <c r="G60" s="31"/>
      <c r="H60" s="31"/>
      <c r="I60" s="65">
        <v>2623.1488045466663</v>
      </c>
      <c r="J60" s="85">
        <v>16.435769452046781</v>
      </c>
      <c r="K60" s="77">
        <f>K47+K58</f>
        <v>2623.1488045466663</v>
      </c>
      <c r="L60" s="84">
        <f>K60/($E$3*$D$11)</f>
        <v>16.435769452046781</v>
      </c>
    </row>
    <row r="61" spans="1:12" x14ac:dyDescent="0.15">
      <c r="G61" s="32"/>
      <c r="H61" s="32"/>
      <c r="I61" s="48"/>
      <c r="J61" s="57"/>
      <c r="K61" s="42"/>
      <c r="L61" s="41"/>
    </row>
    <row r="62" spans="1:12" ht="17" thickBot="1" x14ac:dyDescent="0.25">
      <c r="A62" s="35" t="s">
        <v>56</v>
      </c>
      <c r="B62" s="36"/>
      <c r="C62" s="36"/>
      <c r="D62" s="36"/>
      <c r="E62" s="37"/>
      <c r="F62" s="37"/>
      <c r="G62" s="38"/>
      <c r="H62" s="38"/>
      <c r="I62" s="67">
        <v>265.61119545333349</v>
      </c>
      <c r="J62" s="82">
        <v>1.6642305479532173</v>
      </c>
      <c r="K62" s="79">
        <f>K3-K60</f>
        <v>265.61119545333349</v>
      </c>
      <c r="L62" s="83">
        <f>K62/($E$3*$D$11)</f>
        <v>1.6642305479532173</v>
      </c>
    </row>
    <row r="63" spans="1:12" x14ac:dyDescent="0.15">
      <c r="G63" s="32"/>
      <c r="H63" s="32"/>
      <c r="I63" s="39"/>
    </row>
    <row r="64" spans="1:12" x14ac:dyDescent="0.15">
      <c r="G64" s="32"/>
      <c r="H64" s="32"/>
      <c r="I64" s="40"/>
    </row>
    <row r="65" spans="7:8" x14ac:dyDescent="0.15">
      <c r="G65" s="32"/>
      <c r="H65" s="32"/>
    </row>
    <row r="66" spans="7:8" x14ac:dyDescent="0.15">
      <c r="G66" s="32"/>
      <c r="H66" s="32"/>
    </row>
    <row r="67" spans="7:8" x14ac:dyDescent="0.15">
      <c r="G67" s="32"/>
      <c r="H67" s="32"/>
    </row>
    <row r="68" spans="7:8" x14ac:dyDescent="0.15">
      <c r="G68" s="32"/>
      <c r="H68" s="32"/>
    </row>
    <row r="69" spans="7:8" x14ac:dyDescent="0.15">
      <c r="G69" s="32"/>
      <c r="H69" s="32"/>
    </row>
    <row r="70" spans="7:8" x14ac:dyDescent="0.15">
      <c r="G70" s="32"/>
      <c r="H70" s="32"/>
    </row>
    <row r="71" spans="7:8" x14ac:dyDescent="0.15">
      <c r="G71" s="32"/>
      <c r="H71" s="32"/>
    </row>
    <row r="72" spans="7:8" x14ac:dyDescent="0.15">
      <c r="G72" s="32"/>
      <c r="H72" s="32"/>
    </row>
    <row r="73" spans="7:8" x14ac:dyDescent="0.15">
      <c r="G73" s="32"/>
      <c r="H73" s="32"/>
    </row>
    <row r="74" spans="7:8" x14ac:dyDescent="0.15">
      <c r="G74" s="32"/>
      <c r="H74" s="32"/>
    </row>
    <row r="75" spans="7:8" x14ac:dyDescent="0.15">
      <c r="G75" s="32"/>
      <c r="H75" s="32"/>
    </row>
    <row r="76" spans="7:8" x14ac:dyDescent="0.15">
      <c r="G76" s="32"/>
      <c r="H76" s="32"/>
    </row>
    <row r="77" spans="7:8" x14ac:dyDescent="0.15">
      <c r="G77" s="32"/>
      <c r="H77" s="32"/>
    </row>
    <row r="78" spans="7:8" x14ac:dyDescent="0.15">
      <c r="G78" s="32"/>
      <c r="H78" s="32"/>
    </row>
    <row r="79" spans="7:8" x14ac:dyDescent="0.15">
      <c r="G79" s="32"/>
      <c r="H79" s="32"/>
    </row>
    <row r="80" spans="7:8" x14ac:dyDescent="0.15">
      <c r="G80" s="32"/>
      <c r="H80" s="32"/>
    </row>
    <row r="81" spans="7:8" x14ac:dyDescent="0.15">
      <c r="G81" s="32"/>
      <c r="H81" s="32"/>
    </row>
    <row r="82" spans="7:8" x14ac:dyDescent="0.15">
      <c r="G82" s="32"/>
      <c r="H82" s="32"/>
    </row>
    <row r="83" spans="7:8" x14ac:dyDescent="0.15">
      <c r="G83" s="32"/>
      <c r="H83" s="32"/>
    </row>
    <row r="84" spans="7:8" x14ac:dyDescent="0.15">
      <c r="G84" s="32"/>
      <c r="H84" s="32"/>
    </row>
    <row r="85" spans="7:8" x14ac:dyDescent="0.15">
      <c r="G85" s="32"/>
      <c r="H85" s="32"/>
    </row>
    <row r="86" spans="7:8" x14ac:dyDescent="0.15">
      <c r="G86" s="32"/>
      <c r="H86" s="32"/>
    </row>
    <row r="87" spans="7:8" x14ac:dyDescent="0.15">
      <c r="G87" s="32"/>
      <c r="H87" s="32"/>
    </row>
    <row r="88" spans="7:8" x14ac:dyDescent="0.15">
      <c r="G88" s="32"/>
      <c r="H88" s="32"/>
    </row>
    <row r="89" spans="7:8" x14ac:dyDescent="0.15">
      <c r="G89" s="32"/>
      <c r="H89" s="32"/>
    </row>
    <row r="90" spans="7:8" x14ac:dyDescent="0.15">
      <c r="G90" s="32"/>
      <c r="H90" s="32"/>
    </row>
    <row r="91" spans="7:8" x14ac:dyDescent="0.15">
      <c r="G91" s="32"/>
      <c r="H91" s="32"/>
    </row>
    <row r="92" spans="7:8" x14ac:dyDescent="0.15">
      <c r="G92" s="32"/>
      <c r="H92" s="32"/>
    </row>
    <row r="93" spans="7:8" x14ac:dyDescent="0.15">
      <c r="G93" s="32"/>
      <c r="H93" s="32"/>
    </row>
    <row r="94" spans="7:8" x14ac:dyDescent="0.15">
      <c r="G94" s="32"/>
      <c r="H94" s="32"/>
    </row>
    <row r="95" spans="7:8" x14ac:dyDescent="0.15">
      <c r="G95" s="32"/>
      <c r="H95" s="32"/>
    </row>
    <row r="96" spans="7:8" x14ac:dyDescent="0.15">
      <c r="G96" s="32"/>
      <c r="H96" s="32"/>
    </row>
    <row r="97" spans="7:8" x14ac:dyDescent="0.15">
      <c r="G97" s="32"/>
      <c r="H97" s="32"/>
    </row>
    <row r="98" spans="7:8" x14ac:dyDescent="0.15">
      <c r="G98" s="32"/>
      <c r="H98" s="32"/>
    </row>
    <row r="99" spans="7:8" x14ac:dyDescent="0.15">
      <c r="G99" s="32"/>
      <c r="H99" s="32"/>
    </row>
    <row r="100" spans="7:8" x14ac:dyDescent="0.15">
      <c r="G100" s="32"/>
      <c r="H100" s="32"/>
    </row>
    <row r="101" spans="7:8" x14ac:dyDescent="0.15">
      <c r="G101" s="32"/>
      <c r="H101" s="32"/>
    </row>
    <row r="102" spans="7:8" x14ac:dyDescent="0.15">
      <c r="G102" s="32"/>
      <c r="H102" s="32"/>
    </row>
    <row r="103" spans="7:8" x14ac:dyDescent="0.15">
      <c r="G103" s="32"/>
      <c r="H103" s="32"/>
    </row>
    <row r="104" spans="7:8" x14ac:dyDescent="0.15">
      <c r="G104" s="32"/>
      <c r="H104" s="32"/>
    </row>
    <row r="105" spans="7:8" x14ac:dyDescent="0.15">
      <c r="G105" s="32"/>
      <c r="H105" s="32"/>
    </row>
    <row r="106" spans="7:8" x14ac:dyDescent="0.15">
      <c r="G106" s="32"/>
      <c r="H106" s="32"/>
    </row>
    <row r="107" spans="7:8" x14ac:dyDescent="0.15">
      <c r="G107" s="32"/>
      <c r="H107" s="32"/>
    </row>
    <row r="108" spans="7:8" x14ac:dyDescent="0.15">
      <c r="G108" s="32"/>
      <c r="H108" s="32"/>
    </row>
    <row r="109" spans="7:8" x14ac:dyDescent="0.15">
      <c r="G109" s="32"/>
      <c r="H109" s="32"/>
    </row>
    <row r="110" spans="7:8" x14ac:dyDescent="0.15">
      <c r="G110" s="32"/>
      <c r="H110" s="32"/>
    </row>
    <row r="111" spans="7:8" x14ac:dyDescent="0.15">
      <c r="G111" s="32"/>
      <c r="H111" s="32"/>
    </row>
    <row r="112" spans="7:8" x14ac:dyDescent="0.15">
      <c r="G112" s="32"/>
      <c r="H112" s="32"/>
    </row>
    <row r="113" spans="7:8" x14ac:dyDescent="0.15">
      <c r="G113" s="32"/>
      <c r="H113" s="32"/>
    </row>
    <row r="114" spans="7:8" x14ac:dyDescent="0.15">
      <c r="G114" s="32"/>
      <c r="H114" s="32"/>
    </row>
    <row r="115" spans="7:8" x14ac:dyDescent="0.15">
      <c r="G115" s="32"/>
      <c r="H115" s="32"/>
    </row>
  </sheetData>
  <phoneticPr fontId="3" type="noConversion"/>
  <pageMargins left="0.45" right="0.45" top="0.75" bottom="0.75" header="0.3" footer="0.3"/>
  <pageSetup orientation="portrait" horizontalDpi="0" verticalDpi="0"/>
  <ignoredErrors>
    <ignoredError sqref="K14 K19:K42 K56 K55 H21:H24 D11" unlockedFormula="1"/>
    <ignoredError sqref="L58:L62 L56" formula="1"/>
    <ignoredError sqref="L55" formula="1" unlocked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selection activeCell="D65" sqref="D65"/>
    </sheetView>
  </sheetViews>
  <sheetFormatPr baseColWidth="10" defaultColWidth="8.83203125" defaultRowHeight="14" x14ac:dyDescent="0.15"/>
  <cols>
    <col min="1" max="2" width="2.6640625" style="4" customWidth="1"/>
    <col min="3" max="3" width="19.33203125" style="4" bestFit="1" customWidth="1"/>
    <col min="4" max="4" width="13" style="4" bestFit="1" customWidth="1"/>
    <col min="5" max="5" width="8.83203125" style="4"/>
    <col min="6" max="6" width="10.1640625" style="4" bestFit="1" customWidth="1"/>
    <col min="7" max="8" width="8.83203125" style="4"/>
    <col min="9" max="9" width="9.1640625" style="86" bestFit="1" customWidth="1"/>
    <col min="10" max="10" width="8.83203125" style="87"/>
    <col min="11" max="16384" width="8.83203125" style="4"/>
  </cols>
  <sheetData>
    <row r="1" spans="1:10" ht="16" x14ac:dyDescent="0.2">
      <c r="A1" s="5"/>
    </row>
    <row r="2" spans="1:10" ht="28" x14ac:dyDescent="0.15">
      <c r="A2" s="1"/>
      <c r="B2" s="1"/>
      <c r="C2" s="1"/>
      <c r="D2" s="1"/>
      <c r="E2" s="88" t="s">
        <v>62</v>
      </c>
      <c r="F2" s="88" t="s">
        <v>63</v>
      </c>
      <c r="G2" s="88" t="s">
        <v>64</v>
      </c>
      <c r="H2" s="88" t="s">
        <v>65</v>
      </c>
      <c r="I2" s="89" t="s">
        <v>66</v>
      </c>
      <c r="J2" s="90"/>
    </row>
    <row r="3" spans="1:10" x14ac:dyDescent="0.15">
      <c r="A3" s="91" t="s">
        <v>17</v>
      </c>
      <c r="E3" s="8"/>
      <c r="F3" s="8"/>
      <c r="G3" s="8"/>
      <c r="H3" s="8"/>
      <c r="I3" s="92"/>
    </row>
    <row r="4" spans="1:10" x14ac:dyDescent="0.15">
      <c r="A4" s="93"/>
      <c r="C4" s="4" t="s">
        <v>67</v>
      </c>
      <c r="D4" s="4" t="s">
        <v>111</v>
      </c>
      <c r="E4" s="8">
        <v>15</v>
      </c>
      <c r="F4" s="8" t="s">
        <v>30</v>
      </c>
      <c r="G4" s="8">
        <v>516</v>
      </c>
      <c r="H4" s="8" t="s">
        <v>68</v>
      </c>
      <c r="I4" s="94">
        <f>G4*(E4*11.65/2000)</f>
        <v>45.085499999999996</v>
      </c>
    </row>
    <row r="5" spans="1:10" x14ac:dyDescent="0.15">
      <c r="A5" s="93"/>
      <c r="C5" s="4" t="s">
        <v>104</v>
      </c>
      <c r="D5" s="4" t="s">
        <v>106</v>
      </c>
      <c r="E5" s="8">
        <v>42</v>
      </c>
      <c r="F5" s="8" t="s">
        <v>69</v>
      </c>
      <c r="G5" s="8">
        <v>325</v>
      </c>
      <c r="H5" s="8" t="s">
        <v>68</v>
      </c>
      <c r="I5" s="94">
        <f>G5/2000*E5</f>
        <v>6.8250000000000002</v>
      </c>
    </row>
    <row r="6" spans="1:10" x14ac:dyDescent="0.15">
      <c r="A6" s="93"/>
      <c r="C6" s="4" t="s">
        <v>101</v>
      </c>
      <c r="D6" s="4" t="s">
        <v>106</v>
      </c>
      <c r="E6" s="8">
        <v>214</v>
      </c>
      <c r="F6" s="8" t="s">
        <v>69</v>
      </c>
      <c r="G6" s="8">
        <v>350</v>
      </c>
      <c r="H6" s="8" t="s">
        <v>68</v>
      </c>
      <c r="I6" s="94">
        <f>G6/2000*E6</f>
        <v>37.449999999999996</v>
      </c>
    </row>
    <row r="7" spans="1:10" x14ac:dyDescent="0.15">
      <c r="A7" s="93"/>
      <c r="C7" s="4" t="s">
        <v>102</v>
      </c>
      <c r="D7" s="4" t="s">
        <v>106</v>
      </c>
      <c r="E7" s="8">
        <v>100</v>
      </c>
      <c r="F7" s="8" t="s">
        <v>69</v>
      </c>
      <c r="G7" s="8">
        <v>470</v>
      </c>
      <c r="H7" s="8" t="s">
        <v>68</v>
      </c>
      <c r="I7" s="94">
        <f>G7/2000*E7</f>
        <v>23.5</v>
      </c>
    </row>
    <row r="8" spans="1:10" x14ac:dyDescent="0.15">
      <c r="A8" s="93"/>
      <c r="C8" s="4" t="s">
        <v>103</v>
      </c>
      <c r="D8" s="4" t="s">
        <v>106</v>
      </c>
      <c r="E8" s="8">
        <v>133</v>
      </c>
      <c r="F8" s="8" t="s">
        <v>69</v>
      </c>
      <c r="G8" s="8">
        <v>330</v>
      </c>
      <c r="H8" s="8" t="s">
        <v>68</v>
      </c>
      <c r="I8" s="94">
        <f>G8/2000*E8</f>
        <v>21.945</v>
      </c>
    </row>
    <row r="9" spans="1:10" x14ac:dyDescent="0.15">
      <c r="A9" s="93"/>
      <c r="C9" s="40" t="s">
        <v>105</v>
      </c>
      <c r="D9" s="40" t="s">
        <v>106</v>
      </c>
      <c r="E9" s="95">
        <v>1</v>
      </c>
      <c r="F9" s="95" t="s">
        <v>69</v>
      </c>
      <c r="G9" s="95">
        <v>2</v>
      </c>
      <c r="H9" s="95" t="s">
        <v>69</v>
      </c>
      <c r="I9" s="94">
        <f>G9*E9</f>
        <v>2</v>
      </c>
    </row>
    <row r="10" spans="1:10" x14ac:dyDescent="0.15">
      <c r="A10" s="93"/>
      <c r="C10" s="96" t="s">
        <v>108</v>
      </c>
      <c r="D10" s="96" t="s">
        <v>107</v>
      </c>
      <c r="E10" s="8"/>
      <c r="F10" s="8"/>
      <c r="G10" s="8"/>
      <c r="H10" s="8"/>
      <c r="I10" s="94">
        <v>25</v>
      </c>
    </row>
    <row r="11" spans="1:10" x14ac:dyDescent="0.15">
      <c r="A11" s="97"/>
      <c r="B11" s="30" t="s">
        <v>70</v>
      </c>
      <c r="C11" s="20"/>
      <c r="D11" s="20"/>
      <c r="E11" s="24"/>
      <c r="F11" s="24"/>
      <c r="G11" s="24"/>
      <c r="H11" s="24"/>
      <c r="I11" s="98">
        <f>SUM(I4:I10)</f>
        <v>161.80549999999999</v>
      </c>
    </row>
    <row r="12" spans="1:10" x14ac:dyDescent="0.15">
      <c r="E12" s="8"/>
      <c r="F12" s="8"/>
      <c r="G12" s="8"/>
      <c r="H12" s="8"/>
      <c r="I12" s="99"/>
    </row>
    <row r="13" spans="1:10" x14ac:dyDescent="0.15">
      <c r="A13" s="1"/>
      <c r="B13" s="1"/>
      <c r="C13" s="1"/>
      <c r="D13" s="1"/>
      <c r="E13" s="28"/>
      <c r="F13" s="28"/>
      <c r="G13" s="28"/>
      <c r="H13" s="28"/>
      <c r="I13" s="100"/>
    </row>
    <row r="14" spans="1:10" x14ac:dyDescent="0.15">
      <c r="A14" s="91" t="s">
        <v>19</v>
      </c>
      <c r="E14" s="8"/>
      <c r="F14" s="8"/>
      <c r="G14" s="8"/>
      <c r="H14" s="8"/>
      <c r="I14" s="92"/>
    </row>
    <row r="15" spans="1:10" x14ac:dyDescent="0.15">
      <c r="A15" s="93"/>
      <c r="B15" s="4" t="s">
        <v>71</v>
      </c>
      <c r="E15" s="8"/>
      <c r="F15" s="8"/>
      <c r="G15" s="8"/>
      <c r="H15" s="8"/>
      <c r="I15" s="94"/>
    </row>
    <row r="16" spans="1:10" x14ac:dyDescent="0.15">
      <c r="A16" s="93"/>
      <c r="C16" s="4" t="s">
        <v>72</v>
      </c>
      <c r="E16" s="8">
        <v>1.5</v>
      </c>
      <c r="F16" s="8" t="s">
        <v>73</v>
      </c>
      <c r="G16" s="8">
        <v>60</v>
      </c>
      <c r="H16" s="8" t="s">
        <v>30</v>
      </c>
      <c r="I16" s="94">
        <f>(G16/8)*E16</f>
        <v>11.25</v>
      </c>
    </row>
    <row r="17" spans="1:9" x14ac:dyDescent="0.15">
      <c r="A17" s="93"/>
      <c r="C17" s="4" t="s">
        <v>117</v>
      </c>
      <c r="E17" s="8">
        <v>2.5</v>
      </c>
      <c r="F17" s="8" t="s">
        <v>73</v>
      </c>
      <c r="G17" s="8">
        <v>52</v>
      </c>
      <c r="H17" s="8" t="s">
        <v>30</v>
      </c>
      <c r="I17" s="94">
        <f>(G17/8)*E17</f>
        <v>16.25</v>
      </c>
    </row>
    <row r="18" spans="1:9" x14ac:dyDescent="0.15">
      <c r="A18" s="93"/>
      <c r="C18" s="4" t="s">
        <v>74</v>
      </c>
      <c r="E18" s="8">
        <v>0.25</v>
      </c>
      <c r="F18" s="8" t="s">
        <v>69</v>
      </c>
      <c r="G18" s="8">
        <v>18</v>
      </c>
      <c r="H18" s="8" t="s">
        <v>69</v>
      </c>
      <c r="I18" s="94">
        <f>E18*G18</f>
        <v>4.5</v>
      </c>
    </row>
    <row r="19" spans="1:9" x14ac:dyDescent="0.15">
      <c r="A19" s="93"/>
      <c r="B19" s="4" t="s">
        <v>75</v>
      </c>
      <c r="E19" s="8"/>
      <c r="F19" s="8"/>
      <c r="G19" s="8"/>
      <c r="H19" s="8"/>
      <c r="I19" s="94"/>
    </row>
    <row r="20" spans="1:9" x14ac:dyDescent="0.15">
      <c r="A20" s="93"/>
      <c r="C20" s="4" t="s">
        <v>115</v>
      </c>
      <c r="E20" s="8">
        <v>1</v>
      </c>
      <c r="F20" s="8" t="s">
        <v>30</v>
      </c>
      <c r="G20" s="8">
        <v>15</v>
      </c>
      <c r="H20" s="8" t="s">
        <v>30</v>
      </c>
      <c r="I20" s="94">
        <f>G20*E20</f>
        <v>15</v>
      </c>
    </row>
    <row r="21" spans="1:9" x14ac:dyDescent="0.15">
      <c r="A21" s="93"/>
      <c r="C21" s="4" t="s">
        <v>76</v>
      </c>
      <c r="E21" s="8">
        <v>2.2999999999999998</v>
      </c>
      <c r="F21" s="8" t="s">
        <v>77</v>
      </c>
      <c r="G21" s="8">
        <v>35</v>
      </c>
      <c r="H21" s="8" t="s">
        <v>30</v>
      </c>
      <c r="I21" s="94">
        <f>G21/128*E21</f>
        <v>0.62890625</v>
      </c>
    </row>
    <row r="22" spans="1:9" x14ac:dyDescent="0.15">
      <c r="A22" s="101"/>
      <c r="B22" s="1"/>
      <c r="C22" s="1" t="s">
        <v>76</v>
      </c>
      <c r="D22" s="1"/>
      <c r="E22" s="28">
        <v>2.2999999999999998</v>
      </c>
      <c r="F22" s="28" t="s">
        <v>77</v>
      </c>
      <c r="G22" s="28">
        <v>35</v>
      </c>
      <c r="H22" s="28" t="s">
        <v>30</v>
      </c>
      <c r="I22" s="102">
        <f>G22/128*E22</f>
        <v>0.62890625</v>
      </c>
    </row>
    <row r="23" spans="1:9" x14ac:dyDescent="0.15">
      <c r="A23" s="97"/>
      <c r="B23" s="30" t="s">
        <v>78</v>
      </c>
      <c r="C23" s="20"/>
      <c r="D23" s="20"/>
      <c r="E23" s="24"/>
      <c r="F23" s="24"/>
      <c r="G23" s="24"/>
      <c r="H23" s="24"/>
      <c r="I23" s="103">
        <f>SUM(I15:I22)</f>
        <v>48.2578125</v>
      </c>
    </row>
    <row r="24" spans="1:9" x14ac:dyDescent="0.15">
      <c r="E24" s="8"/>
      <c r="F24" s="8"/>
      <c r="G24" s="8"/>
      <c r="H24" s="8"/>
      <c r="I24" s="99"/>
    </row>
    <row r="25" spans="1:9" x14ac:dyDescent="0.15">
      <c r="A25" s="1"/>
      <c r="B25" s="1"/>
      <c r="C25" s="1"/>
      <c r="D25" s="1"/>
      <c r="E25" s="28"/>
      <c r="F25" s="28"/>
      <c r="G25" s="28"/>
      <c r="H25" s="28"/>
      <c r="I25" s="100"/>
    </row>
    <row r="26" spans="1:9" x14ac:dyDescent="0.15">
      <c r="A26" s="91" t="s">
        <v>20</v>
      </c>
      <c r="E26" s="8"/>
      <c r="F26" s="8"/>
      <c r="G26" s="8"/>
      <c r="H26" s="8"/>
      <c r="I26" s="92"/>
    </row>
    <row r="27" spans="1:9" x14ac:dyDescent="0.15">
      <c r="A27" s="93"/>
      <c r="C27" s="4" t="s">
        <v>79</v>
      </c>
      <c r="E27" s="8">
        <v>1</v>
      </c>
      <c r="F27" s="8" t="s">
        <v>73</v>
      </c>
      <c r="G27" s="8">
        <v>70</v>
      </c>
      <c r="H27" s="8" t="s">
        <v>30</v>
      </c>
      <c r="I27" s="94">
        <f>(G27/8)*E27</f>
        <v>8.75</v>
      </c>
    </row>
    <row r="28" spans="1:9" x14ac:dyDescent="0.15">
      <c r="A28" s="93"/>
      <c r="C28" s="4" t="s">
        <v>80</v>
      </c>
      <c r="E28" s="8">
        <v>0.8</v>
      </c>
      <c r="F28" s="8" t="s">
        <v>73</v>
      </c>
      <c r="G28" s="8">
        <v>27</v>
      </c>
      <c r="H28" s="8" t="s">
        <v>30</v>
      </c>
      <c r="I28" s="94">
        <f>(G28/8)*E28</f>
        <v>2.7</v>
      </c>
    </row>
    <row r="29" spans="1:9" x14ac:dyDescent="0.15">
      <c r="A29" s="93"/>
      <c r="C29" s="4" t="s">
        <v>81</v>
      </c>
      <c r="E29" s="8">
        <v>1</v>
      </c>
      <c r="F29" s="8" t="s">
        <v>73</v>
      </c>
      <c r="G29" s="8">
        <v>70</v>
      </c>
      <c r="H29" s="8" t="s">
        <v>30</v>
      </c>
      <c r="I29" s="94">
        <f>(G29/8)*E29</f>
        <v>8.75</v>
      </c>
    </row>
    <row r="30" spans="1:9" x14ac:dyDescent="0.15">
      <c r="A30" s="101"/>
      <c r="B30" s="1"/>
      <c r="C30" s="1" t="s">
        <v>80</v>
      </c>
      <c r="D30" s="1"/>
      <c r="E30" s="28">
        <v>0.8</v>
      </c>
      <c r="F30" s="28" t="s">
        <v>73</v>
      </c>
      <c r="G30" s="28">
        <v>27</v>
      </c>
      <c r="H30" s="28" t="s">
        <v>30</v>
      </c>
      <c r="I30" s="102">
        <f>(G30/8)*E30</f>
        <v>2.7</v>
      </c>
    </row>
    <row r="31" spans="1:9" x14ac:dyDescent="0.15">
      <c r="A31" s="101"/>
      <c r="B31" s="104" t="s">
        <v>82</v>
      </c>
      <c r="C31" s="1"/>
      <c r="D31" s="1"/>
      <c r="E31" s="28"/>
      <c r="F31" s="28"/>
      <c r="G31" s="28"/>
      <c r="H31" s="28"/>
      <c r="I31" s="105">
        <f>SUM(I27:I30)</f>
        <v>22.9</v>
      </c>
    </row>
    <row r="32" spans="1:9" x14ac:dyDescent="0.15">
      <c r="E32" s="8"/>
      <c r="F32" s="8"/>
      <c r="G32" s="8"/>
      <c r="H32" s="8"/>
      <c r="I32" s="99"/>
    </row>
    <row r="33" spans="1:10" x14ac:dyDescent="0.15">
      <c r="E33" s="8"/>
      <c r="F33" s="8"/>
      <c r="G33" s="8"/>
      <c r="H33" s="8"/>
      <c r="I33" s="99"/>
    </row>
    <row r="34" spans="1:10" x14ac:dyDescent="0.15">
      <c r="A34" s="91" t="s">
        <v>21</v>
      </c>
      <c r="B34" s="39"/>
      <c r="C34" s="39"/>
      <c r="D34" s="39"/>
      <c r="E34" s="106"/>
      <c r="F34" s="106"/>
      <c r="G34" s="106"/>
      <c r="H34" s="106"/>
      <c r="I34" s="92"/>
    </row>
    <row r="35" spans="1:10" x14ac:dyDescent="0.15">
      <c r="A35" s="93"/>
      <c r="C35" s="4" t="s">
        <v>92</v>
      </c>
      <c r="E35" s="8">
        <v>12</v>
      </c>
      <c r="F35" s="8" t="s">
        <v>93</v>
      </c>
      <c r="G35" s="8">
        <v>240</v>
      </c>
      <c r="H35" s="8" t="s">
        <v>30</v>
      </c>
      <c r="I35" s="94">
        <f>G35/128*E35</f>
        <v>22.5</v>
      </c>
    </row>
    <row r="36" spans="1:10" x14ac:dyDescent="0.15">
      <c r="A36" s="93"/>
      <c r="C36" s="4" t="s">
        <v>98</v>
      </c>
      <c r="E36" s="8">
        <v>3.5</v>
      </c>
      <c r="F36" s="8" t="s">
        <v>93</v>
      </c>
      <c r="G36" s="8">
        <v>97</v>
      </c>
      <c r="H36" s="8" t="s">
        <v>69</v>
      </c>
      <c r="I36" s="94">
        <f>G36*(E36/16)</f>
        <v>21.21875</v>
      </c>
      <c r="J36" s="107"/>
    </row>
    <row r="37" spans="1:10" x14ac:dyDescent="0.15">
      <c r="A37" s="93"/>
      <c r="C37" s="4" t="s">
        <v>99</v>
      </c>
      <c r="E37" s="8">
        <v>4</v>
      </c>
      <c r="F37" s="8" t="s">
        <v>93</v>
      </c>
      <c r="G37" s="8">
        <v>960</v>
      </c>
      <c r="H37" s="8" t="s">
        <v>30</v>
      </c>
      <c r="I37" s="94">
        <f t="shared" ref="I37" si="0">G37/128*E37</f>
        <v>30</v>
      </c>
      <c r="J37" s="107"/>
    </row>
    <row r="38" spans="1:10" x14ac:dyDescent="0.15">
      <c r="A38" s="93"/>
      <c r="C38" s="4" t="s">
        <v>100</v>
      </c>
      <c r="E38" s="8">
        <v>3.5</v>
      </c>
      <c r="F38" s="8" t="s">
        <v>93</v>
      </c>
      <c r="G38" s="8">
        <v>2.7</v>
      </c>
      <c r="H38" s="8" t="s">
        <v>77</v>
      </c>
      <c r="I38" s="94">
        <f>E38*G38</f>
        <v>9.4500000000000011</v>
      </c>
      <c r="J38" s="107"/>
    </row>
    <row r="39" spans="1:10" x14ac:dyDescent="0.15">
      <c r="A39" s="97"/>
      <c r="B39" s="30" t="s">
        <v>83</v>
      </c>
      <c r="C39" s="20"/>
      <c r="D39" s="20"/>
      <c r="E39" s="24"/>
      <c r="F39" s="24"/>
      <c r="G39" s="24"/>
      <c r="H39" s="24"/>
      <c r="I39" s="103">
        <f>SUM(I35:I38)</f>
        <v>83.168750000000003</v>
      </c>
    </row>
    <row r="40" spans="1:10" x14ac:dyDescent="0.15">
      <c r="E40" s="8"/>
      <c r="F40" s="8"/>
      <c r="G40" s="8"/>
      <c r="H40" s="8"/>
      <c r="I40" s="99"/>
    </row>
    <row r="41" spans="1:10" x14ac:dyDescent="0.15">
      <c r="E41" s="8"/>
      <c r="F41" s="8"/>
      <c r="G41" s="8"/>
      <c r="H41" s="8"/>
      <c r="I41" s="99"/>
    </row>
    <row r="42" spans="1:10" x14ac:dyDescent="0.15">
      <c r="A42" s="91" t="s">
        <v>22</v>
      </c>
      <c r="B42" s="39"/>
      <c r="C42" s="39"/>
      <c r="D42" s="39"/>
      <c r="E42" s="106"/>
      <c r="F42" s="106"/>
      <c r="G42" s="106"/>
      <c r="H42" s="106"/>
      <c r="I42" s="92"/>
    </row>
    <row r="43" spans="1:10" x14ac:dyDescent="0.15">
      <c r="A43" s="93"/>
      <c r="B43" s="4" t="s">
        <v>13</v>
      </c>
      <c r="E43" s="8"/>
      <c r="F43" s="8"/>
      <c r="G43" s="8"/>
      <c r="H43" s="8"/>
      <c r="I43" s="94"/>
    </row>
    <row r="44" spans="1:10" x14ac:dyDescent="0.15">
      <c r="A44" s="93"/>
      <c r="C44" s="4" t="s">
        <v>84</v>
      </c>
      <c r="D44" s="4" t="s">
        <v>109</v>
      </c>
      <c r="E44" s="8">
        <v>0.31</v>
      </c>
      <c r="F44" s="8" t="s">
        <v>85</v>
      </c>
      <c r="G44" s="8">
        <v>325</v>
      </c>
      <c r="H44" s="8" t="s">
        <v>30</v>
      </c>
      <c r="I44" s="94">
        <f>(G44/128)*E44*'Red Norland Budget'!E15</f>
        <v>17.31640625</v>
      </c>
    </row>
    <row r="45" spans="1:10" x14ac:dyDescent="0.15">
      <c r="A45" s="93"/>
      <c r="C45" s="4" t="s">
        <v>112</v>
      </c>
      <c r="D45" s="4" t="s">
        <v>109</v>
      </c>
      <c r="E45" s="8">
        <v>2</v>
      </c>
      <c r="F45" s="8" t="s">
        <v>85</v>
      </c>
      <c r="G45" s="8">
        <v>32</v>
      </c>
      <c r="H45" s="8" t="s">
        <v>30</v>
      </c>
      <c r="I45" s="94">
        <f>(G45/128)*E45*'Red Norland Budget'!E16</f>
        <v>11</v>
      </c>
    </row>
    <row r="46" spans="1:10" x14ac:dyDescent="0.15">
      <c r="A46" s="93"/>
      <c r="C46" s="4" t="s">
        <v>95</v>
      </c>
      <c r="D46" s="4" t="s">
        <v>109</v>
      </c>
      <c r="E46" s="8">
        <v>0.5</v>
      </c>
      <c r="F46" s="8" t="s">
        <v>96</v>
      </c>
      <c r="G46" s="8">
        <v>1</v>
      </c>
      <c r="H46" s="8" t="s">
        <v>69</v>
      </c>
      <c r="I46" s="94">
        <f>((E46*'Red Norland Budget'!E15)*G46)</f>
        <v>11</v>
      </c>
    </row>
    <row r="47" spans="1:10" x14ac:dyDescent="0.15">
      <c r="A47" s="93"/>
      <c r="C47" s="4" t="s">
        <v>94</v>
      </c>
      <c r="D47" s="4" t="s">
        <v>110</v>
      </c>
      <c r="E47" s="8">
        <v>9.5</v>
      </c>
      <c r="F47" s="8" t="s">
        <v>77</v>
      </c>
      <c r="G47" s="8">
        <v>47</v>
      </c>
      <c r="H47" s="8" t="s">
        <v>69</v>
      </c>
      <c r="I47" s="94">
        <f>(G47/16)*E47</f>
        <v>27.90625</v>
      </c>
    </row>
    <row r="48" spans="1:10" x14ac:dyDescent="0.15">
      <c r="A48" s="93"/>
      <c r="B48" s="4" t="s">
        <v>86</v>
      </c>
      <c r="E48" s="8"/>
      <c r="F48" s="8"/>
      <c r="G48" s="8"/>
      <c r="H48" s="8"/>
      <c r="I48" s="94"/>
    </row>
    <row r="49" spans="1:11" x14ac:dyDescent="0.15">
      <c r="A49" s="93"/>
      <c r="C49" s="4" t="s">
        <v>87</v>
      </c>
      <c r="E49" s="8">
        <v>1.5</v>
      </c>
      <c r="F49" s="8" t="s">
        <v>73</v>
      </c>
      <c r="G49" s="8">
        <v>40</v>
      </c>
      <c r="H49" s="8" t="s">
        <v>30</v>
      </c>
      <c r="I49" s="94">
        <f>(G49/8)*E49</f>
        <v>7.5</v>
      </c>
    </row>
    <row r="50" spans="1:11" x14ac:dyDescent="0.15">
      <c r="A50" s="93"/>
      <c r="C50" s="4" t="s">
        <v>88</v>
      </c>
      <c r="E50" s="8">
        <v>2</v>
      </c>
      <c r="F50" s="8" t="s">
        <v>69</v>
      </c>
      <c r="G50" s="8">
        <v>3.25</v>
      </c>
      <c r="H50" s="8" t="s">
        <v>69</v>
      </c>
      <c r="I50" s="94">
        <f>(E50*G50)</f>
        <v>6.5</v>
      </c>
    </row>
    <row r="51" spans="1:11" x14ac:dyDescent="0.15">
      <c r="A51" s="93"/>
      <c r="C51" s="4" t="s">
        <v>87</v>
      </c>
      <c r="E51" s="8">
        <v>1.5</v>
      </c>
      <c r="F51" s="8" t="s">
        <v>73</v>
      </c>
      <c r="G51" s="8">
        <v>40</v>
      </c>
      <c r="H51" s="8" t="s">
        <v>30</v>
      </c>
      <c r="I51" s="94">
        <f>(G51/8)*E51</f>
        <v>7.5</v>
      </c>
    </row>
    <row r="52" spans="1:11" x14ac:dyDescent="0.15">
      <c r="A52" s="93"/>
      <c r="C52" s="4" t="s">
        <v>88</v>
      </c>
      <c r="E52" s="8">
        <v>2</v>
      </c>
      <c r="F52" s="8" t="s">
        <v>69</v>
      </c>
      <c r="G52" s="8">
        <v>3.25</v>
      </c>
      <c r="H52" s="8" t="s">
        <v>69</v>
      </c>
      <c r="I52" s="94">
        <f>(E52*G52)</f>
        <v>6.5</v>
      </c>
    </row>
    <row r="53" spans="1:11" x14ac:dyDescent="0.15">
      <c r="A53" s="93"/>
      <c r="C53" s="4" t="s">
        <v>89</v>
      </c>
      <c r="E53" s="8">
        <v>7</v>
      </c>
      <c r="F53" s="8" t="s">
        <v>77</v>
      </c>
      <c r="G53" s="8">
        <v>290</v>
      </c>
      <c r="H53" s="8" t="s">
        <v>30</v>
      </c>
      <c r="I53" s="94">
        <f>(G53/128)*E53</f>
        <v>15.859375</v>
      </c>
    </row>
    <row r="54" spans="1:11" x14ac:dyDescent="0.15">
      <c r="A54" s="93"/>
      <c r="C54" s="4" t="s">
        <v>90</v>
      </c>
      <c r="E54" s="8">
        <v>11.2</v>
      </c>
      <c r="F54" s="8" t="s">
        <v>77</v>
      </c>
      <c r="G54" s="8">
        <v>385</v>
      </c>
      <c r="H54" s="8" t="s">
        <v>30</v>
      </c>
      <c r="I54" s="94">
        <f>(G54/128)*E54</f>
        <v>33.6875</v>
      </c>
    </row>
    <row r="55" spans="1:11" x14ac:dyDescent="0.15">
      <c r="A55" s="93"/>
      <c r="C55" s="4" t="s">
        <v>89</v>
      </c>
      <c r="E55" s="8">
        <v>7</v>
      </c>
      <c r="F55" s="8" t="s">
        <v>77</v>
      </c>
      <c r="G55" s="8">
        <v>290</v>
      </c>
      <c r="H55" s="8" t="s">
        <v>30</v>
      </c>
      <c r="I55" s="94">
        <f>(G55/128)*E55</f>
        <v>15.859375</v>
      </c>
    </row>
    <row r="56" spans="1:11" x14ac:dyDescent="0.15">
      <c r="A56" s="97"/>
      <c r="B56" s="30" t="s">
        <v>91</v>
      </c>
      <c r="C56" s="20"/>
      <c r="D56" s="20"/>
      <c r="E56" s="24"/>
      <c r="F56" s="24"/>
      <c r="G56" s="24"/>
      <c r="H56" s="24"/>
      <c r="I56" s="103">
        <f>SUM(I43:I55)</f>
        <v>160.62890625</v>
      </c>
      <c r="K56" s="8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x>
  <Cntr/>
</Prx>
</file>

<file path=customXml/itemProps1.xml><?xml version="1.0" encoding="utf-8"?>
<ds:datastoreItem xmlns:ds="http://schemas.openxmlformats.org/officeDocument/2006/customXml" ds:itemID="{55B2FA1E-8DDB-4C9E-B004-44D43699A19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Red Norland Budget</vt:lpstr>
      <vt:lpstr>Fert &amp; Chem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</dc:creator>
  <cp:lastModifiedBy>Robinson, Andrew</cp:lastModifiedBy>
  <dcterms:created xsi:type="dcterms:W3CDTF">2016-04-22T13:23:56Z</dcterms:created>
  <dcterms:modified xsi:type="dcterms:W3CDTF">2018-02-18T03:20:34Z</dcterms:modified>
</cp:coreProperties>
</file>