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vid.ripplinger\Documents\"/>
    </mc:Choice>
  </mc:AlternateContent>
  <bookViews>
    <workbookView xWindow="0" yWindow="0" windowWidth="20490" windowHeight="6540" firstSheet="3" activeTab="3"/>
  </bookViews>
  <sheets>
    <sheet name="HRSW Budget" sheetId="1" state="hidden" r:id="rId1"/>
    <sheet name="Corn Budget" sheetId="6" state="hidden" r:id="rId2"/>
    <sheet name="Soybean Budget" sheetId="8" state="hidden" r:id="rId3"/>
    <sheet name="Intro" sheetId="11" r:id="rId4"/>
    <sheet name="Salinity Calculator" sheetId="10" r:id="rId5"/>
    <sheet name="Corn Returns" sheetId="9" r:id="rId6"/>
    <sheet name="Saline-Revenue Data" sheetId="5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0" l="1"/>
  <c r="C11" i="10"/>
  <c r="B11" i="10"/>
  <c r="D23" i="6" l="1"/>
  <c r="C23" i="8"/>
  <c r="C18" i="8"/>
  <c r="F17" i="5"/>
  <c r="H17" i="5" s="1"/>
  <c r="B3" i="5"/>
  <c r="F11" i="5" s="1"/>
  <c r="H11" i="5" s="1"/>
  <c r="D18" i="6"/>
  <c r="E10" i="5"/>
  <c r="E11" i="5"/>
  <c r="E12" i="5"/>
  <c r="E13" i="5"/>
  <c r="E14" i="5"/>
  <c r="E15" i="5"/>
  <c r="E16" i="5"/>
  <c r="E17" i="5"/>
  <c r="E18" i="5"/>
  <c r="E19" i="5"/>
  <c r="E9" i="5"/>
  <c r="D10" i="5"/>
  <c r="D11" i="5"/>
  <c r="D12" i="5"/>
  <c r="D13" i="5"/>
  <c r="D14" i="5"/>
  <c r="D15" i="5"/>
  <c r="D16" i="5"/>
  <c r="D17" i="5"/>
  <c r="D18" i="5"/>
  <c r="D19" i="5"/>
  <c r="D9" i="5"/>
  <c r="D2" i="6"/>
  <c r="V11" i="5"/>
  <c r="V12" i="5" s="1"/>
  <c r="V13" i="5" s="1"/>
  <c r="V14" i="5" s="1"/>
  <c r="W14" i="5" s="1"/>
  <c r="O11" i="5"/>
  <c r="P11" i="5" s="1"/>
  <c r="C11" i="5"/>
  <c r="C12" i="5" s="1"/>
  <c r="P10" i="5"/>
  <c r="P15" i="5"/>
  <c r="P9" i="5"/>
  <c r="B27" i="8"/>
  <c r="B34" i="8" s="1"/>
  <c r="B25" i="8"/>
  <c r="B33" i="8" s="1"/>
  <c r="B18" i="8"/>
  <c r="B32" i="8" s="1"/>
  <c r="B4" i="8"/>
  <c r="B29" i="8" s="1"/>
  <c r="B25" i="6"/>
  <c r="B33" i="6" s="1"/>
  <c r="B18" i="6"/>
  <c r="B27" i="6" s="1"/>
  <c r="B34" i="6" s="1"/>
  <c r="B4" i="6"/>
  <c r="B29" i="6" s="1"/>
  <c r="W10" i="5"/>
  <c r="W15" i="5"/>
  <c r="W9" i="5"/>
  <c r="D12" i="10" l="1"/>
  <c r="D15" i="10" s="1"/>
  <c r="B12" i="10"/>
  <c r="C12" i="10"/>
  <c r="AB9" i="5"/>
  <c r="AB10" i="5" s="1"/>
  <c r="F14" i="5"/>
  <c r="H14" i="5" s="1"/>
  <c r="F13" i="5"/>
  <c r="H13" i="5" s="1"/>
  <c r="F18" i="5"/>
  <c r="H18" i="5" s="1"/>
  <c r="F10" i="5"/>
  <c r="H10" i="5" s="1"/>
  <c r="F9" i="5"/>
  <c r="H9" i="5" s="1"/>
  <c r="F16" i="5"/>
  <c r="H16" i="5" s="1"/>
  <c r="F12" i="5"/>
  <c r="H12" i="5" s="1"/>
  <c r="F19" i="5"/>
  <c r="H19" i="5" s="1"/>
  <c r="F15" i="5"/>
  <c r="H15" i="5" s="1"/>
  <c r="W11" i="5"/>
  <c r="O12" i="5"/>
  <c r="O13" i="5" s="1"/>
  <c r="O14" i="5" s="1"/>
  <c r="P14" i="5" s="1"/>
  <c r="C13" i="5"/>
  <c r="P12" i="5"/>
  <c r="W13" i="5"/>
  <c r="W12" i="5"/>
  <c r="B32" i="6"/>
  <c r="C8" i="1"/>
  <c r="C31" i="1"/>
  <c r="B31" i="1"/>
  <c r="B39" i="1" s="1"/>
  <c r="B24" i="1"/>
  <c r="B38" i="1" s="1"/>
  <c r="B10" i="1"/>
  <c r="D13" i="10" l="1"/>
  <c r="D16" i="10" s="1"/>
  <c r="D21" i="10" s="1"/>
  <c r="C13" i="10"/>
  <c r="C15" i="10"/>
  <c r="B13" i="10"/>
  <c r="B15" i="10"/>
  <c r="P13" i="5"/>
  <c r="C14" i="5"/>
  <c r="C10" i="1"/>
  <c r="B33" i="1"/>
  <c r="B40" i="1" s="1"/>
  <c r="B35" i="1"/>
  <c r="C13" i="1"/>
  <c r="C17" i="1"/>
  <c r="C39" i="1"/>
  <c r="B16" i="10" l="1"/>
  <c r="B21" i="10" s="1"/>
  <c r="C16" i="10"/>
  <c r="C21" i="10" s="1"/>
  <c r="C15" i="5"/>
  <c r="C24" i="1"/>
  <c r="C33" i="1" l="1"/>
  <c r="C40" i="1" s="1"/>
  <c r="D24" i="1"/>
  <c r="C16" i="5"/>
  <c r="C38" i="1"/>
  <c r="C35" i="1" l="1"/>
  <c r="C17" i="5"/>
  <c r="C18" i="5" l="1"/>
</calcChain>
</file>

<file path=xl/sharedStrings.xml><?xml version="1.0" encoding="utf-8"?>
<sst xmlns="http://schemas.openxmlformats.org/spreadsheetml/2006/main" count="153" uniqueCount="74">
  <si>
    <t>HARD RED SPRING WHEAT</t>
  </si>
  <si>
    <t>Per Acre</t>
  </si>
  <si>
    <t>Notes:</t>
  </si>
  <si>
    <t xml:space="preserve">  Market Yield</t>
  </si>
  <si>
    <t xml:space="preserve">  Market Price</t>
  </si>
  <si>
    <t>Market Revenue</t>
  </si>
  <si>
    <t>DIRECT COSTS</t>
  </si>
  <si>
    <t xml:space="preserve"> -Seed</t>
  </si>
  <si>
    <t xml:space="preserve"> -Herbicides</t>
  </si>
  <si>
    <t xml:space="preserve"> -Fungicides</t>
  </si>
  <si>
    <t xml:space="preserve"> -Insecticides</t>
  </si>
  <si>
    <t>Cereal grain aphid insecticide would cost about $6</t>
  </si>
  <si>
    <t xml:space="preserve"> -Fertilizer</t>
  </si>
  <si>
    <t xml:space="preserve"> -Crop Insurance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</si>
  <si>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</si>
  <si>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</si>
  <si>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</si>
  <si>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</si>
  <si>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</si>
  <si>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>SUM OF LISTED DIRECT COSTS</t>
  </si>
  <si>
    <t>INDIRECT (FIXED) COSTS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</si>
  <si>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</si>
  <si>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</si>
  <si>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</si>
  <si>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</si>
  <si>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>SUM OF LISTED INDIRECT COSTS</t>
  </si>
  <si>
    <t>SUM OF ALL LISTED COSTS</t>
  </si>
  <si>
    <t>RETURN TO LABOR &amp; MGMT</t>
  </si>
  <si>
    <t>LISTED COSTS PER BUDGET UNIT</t>
  </si>
  <si>
    <t>(bu) :</t>
  </si>
  <si>
    <t xml:space="preserve"> -Direct Costs</t>
  </si>
  <si>
    <t xml:space="preserve"> -Indirect Costs</t>
  </si>
  <si>
    <t xml:space="preserve"> -Total Listed Costs</t>
  </si>
  <si>
    <t>Salinity</t>
  </si>
  <si>
    <t>http://pubstorage.sdstate.edu/AgBio_Publications/articles/FS903.pdf</t>
  </si>
  <si>
    <t>https://www.ndsu.edu/fileadmin/soils/pdfs/sf882.pdf</t>
  </si>
  <si>
    <t>Wheat</t>
  </si>
  <si>
    <t>Yield</t>
  </si>
  <si>
    <t>Corn</t>
  </si>
  <si>
    <t>Soybean</t>
  </si>
  <si>
    <t>Revenue</t>
  </si>
  <si>
    <t>CORN</t>
  </si>
  <si>
    <t>SOYBEANS</t>
  </si>
  <si>
    <t>Cost includes $8 for inoculant and fungicide seed treatment</t>
  </si>
  <si>
    <t>Soybean aphid and/or spider mite insecticide</t>
  </si>
  <si>
    <t xml:space="preserve"> </t>
  </si>
  <si>
    <t>Yield %</t>
  </si>
  <si>
    <t>Relative Yield</t>
  </si>
  <si>
    <t>Actual Yield</t>
  </si>
  <si>
    <t>Cash Costs</t>
  </si>
  <si>
    <t>Fixed Costs</t>
  </si>
  <si>
    <t>Price</t>
  </si>
  <si>
    <t>Baseline</t>
  </si>
  <si>
    <t xml:space="preserve">Salinity-Adjusted </t>
  </si>
  <si>
    <t>Direct Costs</t>
  </si>
  <si>
    <t>Land</t>
  </si>
  <si>
    <t>Cash Returns</t>
  </si>
  <si>
    <t>Returns to Labor and Management</t>
  </si>
  <si>
    <t>Other than Land</t>
  </si>
  <si>
    <t>**NDSU and its entities makes no warranties, either expressed or implied, concerning this program.**</t>
  </si>
  <si>
    <t>Developed by: David Ripplinger, NDSU Extension Service</t>
  </si>
  <si>
    <t>North Dakota Soil Salinity Tool Version 1.0</t>
  </si>
  <si>
    <t xml:space="preserve">The tool relies upon salinity yield response research summarized by FAO; seeding and fertilizer application rates, and NDSU Crop Budgets for the SE District. </t>
  </si>
  <si>
    <t>References</t>
  </si>
  <si>
    <r>
      <t>Tanji, Kenneth K., and Neeltje C. Kielen. </t>
    </r>
    <r>
      <rPr>
        <i/>
        <sz val="10"/>
        <color rgb="FF222222"/>
        <rFont val="Arial"/>
        <family val="2"/>
      </rPr>
      <t>Agricultural drainage water management in arid and semi-arid areas</t>
    </r>
    <r>
      <rPr>
        <sz val="10"/>
        <color rgb="FF222222"/>
        <rFont val="Arial"/>
        <family val="2"/>
      </rPr>
      <t>. FAO, 2002.</t>
    </r>
  </si>
  <si>
    <t>Salinity (adjustable)</t>
  </si>
  <si>
    <t>Price (adjustable)</t>
  </si>
  <si>
    <t>Yield (adjustable)</t>
  </si>
  <si>
    <t xml:space="preserve">The salinity tool is intented to help illustrate the impact of soil salinity on crop yields, revenue, expenses, and returns.    </t>
  </si>
  <si>
    <r>
      <t>Swenson, Andrew, and Ron Haugen. "Projected 2016 Crop Budgets South Eastern North Dakota." </t>
    </r>
    <r>
      <rPr>
        <i/>
        <sz val="10"/>
        <color rgb="FF222222"/>
        <rFont val="Arial"/>
        <family val="2"/>
      </rPr>
      <t>Farm Management Planning Guide. North Dakota State University Extension Service, Fargo, ND</t>
    </r>
    <r>
      <rPr>
        <sz val="10"/>
        <color rgb="FF222222"/>
        <rFont val="Arial"/>
        <family val="2"/>
      </rPr>
      <t> (2015).</t>
    </r>
  </si>
  <si>
    <t>Franzen, David W. "North Dakota Fertilizer Recommendation: Tables and Equations." (2010).</t>
  </si>
  <si>
    <t>Wiersma, Jochum J., and Joel K. Ransom. "The small grains field guide." (2005).</t>
  </si>
  <si>
    <t>The North Dakota Soil Salinity Tool continues to be developed.  Please contact David Ripplinger at david.ripplinger@ndsu.edu to provide comments on the tool.</t>
  </si>
  <si>
    <t>Adjust the salinity level (measured in decisiemens per meter) by entering values in cell B2 in the "Salinity Calculator"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</si>
</sst>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9" formatCode="&quot;$&quot;#,##0.0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i/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2" borderId="0" xfId="0" applyFill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0" xfId="0" applyFont="1" applyFill="1" applyProtection="1">
      <protection locked="0"/>
    </xf>
    <xf numFmtId="1" fontId="0" fillId="2" borderId="0" xfId="0" applyNumberFormat="1" applyFill="1"/>
    <xf numFmtId="2" fontId="3" fillId="2" borderId="0" xfId="0" applyNumberFormat="1" applyFont="1" applyFill="1" applyBorder="1" applyProtection="1">
      <protection locked="0"/>
    </xf>
    <xf numFmtId="2" fontId="0" fillId="2" borderId="0" xfId="0" applyNumberFormat="1" applyFill="1"/>
    <xf numFmtId="0" fontId="0" fillId="2" borderId="0" xfId="0" applyFill="1" applyAlignment="1" applyProtection="1">
      <protection locked="0"/>
    </xf>
    <xf numFmtId="0" fontId="0" fillId="2" borderId="1" xfId="0" quotePrefix="1" applyFill="1" applyBorder="1"/>
    <xf numFmtId="2" fontId="3" fillId="2" borderId="2" xfId="0" applyNumberFormat="1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0" fontId="0" fillId="2" borderId="0" xfId="0" quotePrefix="1" applyFill="1"/>
    <xf numFmtId="2" fontId="3" fillId="2" borderId="0" xfId="0" applyNumberFormat="1" applyFont="1" applyFill="1" applyProtection="1">
      <protection locked="0"/>
    </xf>
    <xf numFmtId="2" fontId="0" fillId="2" borderId="0" xfId="0" applyNumberFormat="1" applyFill="1" applyAlignment="1">
      <alignment horizontal="center"/>
    </xf>
    <xf numFmtId="0" fontId="0" fillId="3" borderId="0" xfId="0" applyFill="1"/>
    <xf numFmtId="0" fontId="2" fillId="0" borderId="0" xfId="0" applyFont="1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protection locked="0"/>
    </xf>
    <xf numFmtId="2" fontId="3" fillId="0" borderId="0" xfId="0" applyNumberFormat="1" applyFont="1" applyBorder="1" applyProtection="1">
      <protection locked="0"/>
    </xf>
    <xf numFmtId="2" fontId="0" fillId="0" borderId="0" xfId="0" applyNumberFormat="1"/>
    <xf numFmtId="0" fontId="0" fillId="0" borderId="0" xfId="0" quotePrefix="1"/>
    <xf numFmtId="2" fontId="3" fillId="0" borderId="0" xfId="0" applyNumberFormat="1" applyFont="1" applyProtection="1">
      <protection locked="0"/>
    </xf>
    <xf numFmtId="2" fontId="3" fillId="0" borderId="0" xfId="0" applyNumberFormat="1" applyFont="1" applyFill="1" applyProtection="1">
      <protection locked="0"/>
    </xf>
    <xf numFmtId="2" fontId="3" fillId="0" borderId="0" xfId="0" applyNumberFormat="1" applyFont="1" applyFill="1" applyBorder="1" applyProtection="1">
      <protection locked="0"/>
    </xf>
    <xf numFmtId="2" fontId="0" fillId="0" borderId="0" xfId="0" applyNumberFormat="1" applyAlignment="1">
      <alignment horizontal="center"/>
    </xf>
    <xf numFmtId="44" fontId="0" fillId="0" borderId="0" xfId="2" applyFont="1"/>
    <xf numFmtId="44" fontId="0" fillId="0" borderId="0" xfId="0" applyNumberFormat="1"/>
    <xf numFmtId="2" fontId="0" fillId="0" borderId="0" xfId="0" applyNumberFormat="1" applyAlignment="1" applyProtection="1">
      <protection locked="0"/>
    </xf>
    <xf numFmtId="0" fontId="5" fillId="2" borderId="0" xfId="0" applyFont="1" applyFill="1"/>
    <xf numFmtId="2" fontId="5" fillId="2" borderId="0" xfId="0" applyNumberFormat="1" applyFont="1" applyFill="1"/>
    <xf numFmtId="0" fontId="6" fillId="2" borderId="0" xfId="0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0" fontId="7" fillId="2" borderId="0" xfId="3" quotePrefix="1" applyFont="1" applyFill="1" applyAlignment="1">
      <alignment horizontal="center"/>
    </xf>
    <xf numFmtId="0" fontId="11" fillId="2" borderId="0" xfId="3" applyFont="1" applyFill="1"/>
    <xf numFmtId="0" fontId="8" fillId="2" borderId="0" xfId="3" applyFont="1" applyFill="1"/>
    <xf numFmtId="0" fontId="7" fillId="2" borderId="0" xfId="3" applyFont="1" applyFill="1"/>
    <xf numFmtId="0" fontId="12" fillId="2" borderId="0" xfId="0" applyFont="1" applyFill="1"/>
    <xf numFmtId="169" fontId="5" fillId="2" borderId="0" xfId="2" applyNumberFormat="1" applyFont="1" applyFill="1" applyProtection="1">
      <protection hidden="1"/>
    </xf>
    <xf numFmtId="1" fontId="5" fillId="2" borderId="0" xfId="0" applyNumberFormat="1" applyFont="1" applyFill="1" applyProtection="1">
      <protection hidden="1"/>
    </xf>
    <xf numFmtId="169" fontId="5" fillId="2" borderId="0" xfId="2" applyNumberFormat="1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2" fontId="5" fillId="2" borderId="0" xfId="0" applyNumberFormat="1" applyFont="1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169" fontId="5" fillId="2" borderId="0" xfId="0" applyNumberFormat="1" applyFont="1" applyFill="1" applyProtection="1">
      <protection hidden="1"/>
    </xf>
    <xf numFmtId="0" fontId="5" fillId="2" borderId="4" xfId="0" applyFont="1" applyFill="1" applyBorder="1" applyProtection="1">
      <protection hidden="1"/>
    </xf>
    <xf numFmtId="169" fontId="5" fillId="2" borderId="4" xfId="2" applyNumberFormat="1" applyFont="1" applyFill="1" applyBorder="1" applyProtection="1">
      <protection hidden="1"/>
    </xf>
    <xf numFmtId="169" fontId="5" fillId="2" borderId="4" xfId="0" applyNumberFormat="1" applyFont="1" applyFill="1" applyBorder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wrapText="1"/>
      <protection hidden="1"/>
    </xf>
    <xf numFmtId="169" fontId="5" fillId="4" borderId="6" xfId="2" applyNumberFormat="1" applyFont="1" applyFill="1" applyBorder="1" applyProtection="1">
      <protection locked="0"/>
    </xf>
    <xf numFmtId="169" fontId="5" fillId="4" borderId="7" xfId="2" applyNumberFormat="1" applyFont="1" applyFill="1" applyBorder="1" applyProtection="1">
      <protection locked="0"/>
    </xf>
    <xf numFmtId="169" fontId="5" fillId="4" borderId="8" xfId="2" applyNumberFormat="1" applyFont="1" applyFill="1" applyBorder="1" applyProtection="1">
      <protection locked="0"/>
    </xf>
    <xf numFmtId="0" fontId="5" fillId="4" borderId="9" xfId="0" applyFont="1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1" xfId="0" applyFont="1" applyFill="1" applyBorder="1" applyProtection="1">
      <protection locked="0"/>
    </xf>
    <xf numFmtId="0" fontId="6" fillId="4" borderId="5" xfId="1" applyFont="1" applyFill="1" applyBorder="1" applyProtection="1">
      <protection locked="0"/>
    </xf>
    <xf numFmtId="0" fontId="13" fillId="2" borderId="0" xfId="0" applyFont="1" applyFill="1"/>
  </cellXfs>
  <cellStyles count="5">
    <cellStyle name="Currency" xfId="2" builtinId="4"/>
    <cellStyle name="Hyperlink" xfId="1" builtinId="8"/>
    <cellStyle name="Hyperlink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Salinity Yield Response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Corn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'Saline-Revenue Data'!$B$9:$B$19</c:f>
              <c:numCache>
                <c:formatCode>General</c:formatCode>
                <c:ptCount val="11"/>
                <c:pt idx="0">
                  <c:v>0</c:v>
                </c:pt>
                <c:pt idx="1">
                  <c:v>1.96</c:v>
                </c:pt>
                <c:pt idx="2">
                  <c:v>2.96</c:v>
                </c:pt>
                <c:pt idx="3">
                  <c:v>3.96</c:v>
                </c:pt>
                <c:pt idx="4">
                  <c:v>4.96</c:v>
                </c:pt>
                <c:pt idx="5">
                  <c:v>5.96</c:v>
                </c:pt>
                <c:pt idx="6">
                  <c:v>6.96</c:v>
                </c:pt>
                <c:pt idx="7">
                  <c:v>7.96</c:v>
                </c:pt>
                <c:pt idx="8">
                  <c:v>8.9600000000000009</c:v>
                </c:pt>
                <c:pt idx="9">
                  <c:v>9.9600000000000009</c:v>
                </c:pt>
                <c:pt idx="10">
                  <c:v>10.46</c:v>
                </c:pt>
              </c:numCache>
            </c:numRef>
          </c:xVal>
          <c:yVal>
            <c:numRef>
              <c:f>'Saline-Revenue Data'!$C$9:$C$19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0.88200000000000001</c:v>
                </c:pt>
                <c:pt idx="3">
                  <c:v>0.76400000000000001</c:v>
                </c:pt>
                <c:pt idx="4">
                  <c:v>0.64600000000000002</c:v>
                </c:pt>
                <c:pt idx="5">
                  <c:v>0.52800000000000002</c:v>
                </c:pt>
                <c:pt idx="6">
                  <c:v>0.41000000000000003</c:v>
                </c:pt>
                <c:pt idx="7">
                  <c:v>0.29200000000000004</c:v>
                </c:pt>
                <c:pt idx="8">
                  <c:v>0.17400000000000004</c:v>
                </c:pt>
                <c:pt idx="9">
                  <c:v>5.600000000000005E-2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Soybean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'Saline-Revenue Data'!$N$9:$N$15</c:f>
              <c:numCache>
                <c:formatCode>General</c:formatCode>
                <c:ptCount val="7"/>
                <c:pt idx="0">
                  <c:v>0</c:v>
                </c:pt>
                <c:pt idx="1">
                  <c:v>1.1200000000000001</c:v>
                </c:pt>
                <c:pt idx="2">
                  <c:v>2.12</c:v>
                </c:pt>
                <c:pt idx="3">
                  <c:v>3.12</c:v>
                </c:pt>
                <c:pt idx="4">
                  <c:v>4.12</c:v>
                </c:pt>
                <c:pt idx="5">
                  <c:v>5.12</c:v>
                </c:pt>
                <c:pt idx="6">
                  <c:v>6</c:v>
                </c:pt>
              </c:numCache>
            </c:numRef>
          </c:xVal>
          <c:yVal>
            <c:numRef>
              <c:f>'Saline-Revenue Data'!$O$9:$O$15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0.79</c:v>
                </c:pt>
                <c:pt idx="3">
                  <c:v>0.58000000000000007</c:v>
                </c:pt>
                <c:pt idx="4">
                  <c:v>0.37000000000000011</c:v>
                </c:pt>
                <c:pt idx="5">
                  <c:v>0.16000000000000011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Wheat</c:v>
          </c:tx>
          <c:spPr>
            <a:ln w="19050" cap="rnd" cmpd="sng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'Saline-Revenue Data'!$U$9:$U$15</c:f>
              <c:numCache>
                <c:formatCode>General</c:formatCode>
                <c:ptCount val="7"/>
                <c:pt idx="0">
                  <c:v>0</c:v>
                </c:pt>
                <c:pt idx="1">
                  <c:v>4.5</c:v>
                </c:pt>
                <c:pt idx="2">
                  <c:v>5.5</c:v>
                </c:pt>
                <c:pt idx="3">
                  <c:v>6.5</c:v>
                </c:pt>
                <c:pt idx="4">
                  <c:v>7.5</c:v>
                </c:pt>
                <c:pt idx="5">
                  <c:v>8.5</c:v>
                </c:pt>
                <c:pt idx="6">
                  <c:v>9</c:v>
                </c:pt>
              </c:numCache>
            </c:numRef>
          </c:xVal>
          <c:yVal>
            <c:numRef>
              <c:f>'Saline-Revenue Data'!$V$9:$V$15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0.77</c:v>
                </c:pt>
                <c:pt idx="3">
                  <c:v>0.56000000000000005</c:v>
                </c:pt>
                <c:pt idx="4">
                  <c:v>0.33000000000000007</c:v>
                </c:pt>
                <c:pt idx="5">
                  <c:v>0.12000000000000008</c:v>
                </c:pt>
                <c:pt idx="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Salinity</c:v>
          </c:tx>
          <c:spPr>
            <a:ln w="698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'Saline-Revenue Data'!$AB$9:$AB$10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'Saline-Revenue Data'!$AA$9:$AA$10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720136"/>
        <c:axId val="322720528"/>
      </c:scatterChart>
      <c:valAx>
        <c:axId val="322720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Salinity (mmhos/cm)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2720528"/>
        <c:crosses val="autoZero"/>
        <c:crossBetween val="midCat"/>
        <c:majorUnit val="1"/>
      </c:valAx>
      <c:valAx>
        <c:axId val="322720528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% Yield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272013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Salinity Revenue Response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Corn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'Saline-Revenue Data'!$B$9:$B$19</c:f>
              <c:numCache>
                <c:formatCode>General</c:formatCode>
                <c:ptCount val="11"/>
                <c:pt idx="0">
                  <c:v>0</c:v>
                </c:pt>
                <c:pt idx="1">
                  <c:v>1.96</c:v>
                </c:pt>
                <c:pt idx="2">
                  <c:v>2.96</c:v>
                </c:pt>
                <c:pt idx="3">
                  <c:v>3.96</c:v>
                </c:pt>
                <c:pt idx="4">
                  <c:v>4.96</c:v>
                </c:pt>
                <c:pt idx="5">
                  <c:v>5.96</c:v>
                </c:pt>
                <c:pt idx="6">
                  <c:v>6.96</c:v>
                </c:pt>
                <c:pt idx="7">
                  <c:v>7.96</c:v>
                </c:pt>
                <c:pt idx="8">
                  <c:v>8.9600000000000009</c:v>
                </c:pt>
                <c:pt idx="9">
                  <c:v>9.9600000000000009</c:v>
                </c:pt>
                <c:pt idx="10">
                  <c:v>10.46</c:v>
                </c:pt>
              </c:numCache>
            </c:numRef>
          </c:xVal>
          <c:yVal>
            <c:numRef>
              <c:f>'Saline-Revenue Data'!$E$9:$E$19</c:f>
              <c:numCache>
                <c:formatCode>_("$"* #,##0.00_);_("$"* \(#,##0.00\);_("$"* "-"??_);_(@_)</c:formatCode>
                <c:ptCount val="11"/>
                <c:pt idx="0">
                  <c:v>472.5</c:v>
                </c:pt>
                <c:pt idx="1">
                  <c:v>472.5</c:v>
                </c:pt>
                <c:pt idx="2">
                  <c:v>416.745</c:v>
                </c:pt>
                <c:pt idx="3">
                  <c:v>360.99</c:v>
                </c:pt>
                <c:pt idx="4">
                  <c:v>305.23500000000001</c:v>
                </c:pt>
                <c:pt idx="5">
                  <c:v>249.48000000000002</c:v>
                </c:pt>
                <c:pt idx="6">
                  <c:v>193.72499999999999</c:v>
                </c:pt>
                <c:pt idx="7">
                  <c:v>137.97</c:v>
                </c:pt>
                <c:pt idx="8">
                  <c:v>82.215000000000018</c:v>
                </c:pt>
                <c:pt idx="9">
                  <c:v>26.460000000000022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Soybean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'Saline-Revenue Data'!$N$9:$N$15</c:f>
              <c:numCache>
                <c:formatCode>General</c:formatCode>
                <c:ptCount val="7"/>
                <c:pt idx="0">
                  <c:v>0</c:v>
                </c:pt>
                <c:pt idx="1">
                  <c:v>1.1200000000000001</c:v>
                </c:pt>
                <c:pt idx="2">
                  <c:v>2.12</c:v>
                </c:pt>
                <c:pt idx="3">
                  <c:v>3.12</c:v>
                </c:pt>
                <c:pt idx="4">
                  <c:v>4.12</c:v>
                </c:pt>
                <c:pt idx="5">
                  <c:v>5.12</c:v>
                </c:pt>
                <c:pt idx="6">
                  <c:v>6</c:v>
                </c:pt>
              </c:numCache>
            </c:numRef>
          </c:xVal>
          <c:yVal>
            <c:numRef>
              <c:f>'Saline-Revenue Data'!$P$9:$P$15</c:f>
              <c:numCache>
                <c:formatCode>General</c:formatCode>
                <c:ptCount val="7"/>
                <c:pt idx="0">
                  <c:v>276.08</c:v>
                </c:pt>
                <c:pt idx="1">
                  <c:v>276.08</c:v>
                </c:pt>
                <c:pt idx="2">
                  <c:v>218.10319999999999</c:v>
                </c:pt>
                <c:pt idx="3">
                  <c:v>160.12640000000002</c:v>
                </c:pt>
                <c:pt idx="4">
                  <c:v>102.14960000000002</c:v>
                </c:pt>
                <c:pt idx="5">
                  <c:v>44.172800000000031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Wheat</c:v>
          </c:tx>
          <c:spPr>
            <a:ln w="19050" cap="rnd" cmpd="sng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'Saline-Revenue Data'!$U$9:$U$15</c:f>
              <c:numCache>
                <c:formatCode>General</c:formatCode>
                <c:ptCount val="7"/>
                <c:pt idx="0">
                  <c:v>0</c:v>
                </c:pt>
                <c:pt idx="1">
                  <c:v>4.5</c:v>
                </c:pt>
                <c:pt idx="2">
                  <c:v>5.5</c:v>
                </c:pt>
                <c:pt idx="3">
                  <c:v>6.5</c:v>
                </c:pt>
                <c:pt idx="4">
                  <c:v>7.5</c:v>
                </c:pt>
                <c:pt idx="5">
                  <c:v>8.5</c:v>
                </c:pt>
                <c:pt idx="6">
                  <c:v>9</c:v>
                </c:pt>
              </c:numCache>
            </c:numRef>
          </c:xVal>
          <c:yVal>
            <c:numRef>
              <c:f>'Saline-Revenue Data'!$W$9:$W$15</c:f>
              <c:numCache>
                <c:formatCode>_("$"* #,##0.00_);_("$"* \(#,##0.00\);_("$"* "-"??_);_(@_)</c:formatCode>
                <c:ptCount val="7"/>
                <c:pt idx="0">
                  <c:v>314.36</c:v>
                </c:pt>
                <c:pt idx="1">
                  <c:v>314.36</c:v>
                </c:pt>
                <c:pt idx="2">
                  <c:v>242.05720000000002</c:v>
                </c:pt>
                <c:pt idx="3">
                  <c:v>176.04160000000002</c:v>
                </c:pt>
                <c:pt idx="4">
                  <c:v>103.73880000000003</c:v>
                </c:pt>
                <c:pt idx="5">
                  <c:v>37.723200000000027</c:v>
                </c:pt>
                <c:pt idx="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Salinity</c:v>
          </c:tx>
          <c:spPr>
            <a:ln w="666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'Saline-Revenue Data'!$AB$9:$AB$10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'Saline-Revenue Data'!$AC$9:$AC$10</c:f>
              <c:numCache>
                <c:formatCode>General</c:formatCode>
                <c:ptCount val="2"/>
                <c:pt idx="0">
                  <c:v>500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721312"/>
        <c:axId val="321991384"/>
      </c:scatterChart>
      <c:valAx>
        <c:axId val="322721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Salinity (mmhos/cm)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1991384"/>
        <c:crosses val="autoZero"/>
        <c:crossBetween val="midCat"/>
        <c:majorUnit val="1"/>
      </c:valAx>
      <c:valAx>
        <c:axId val="321991384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Revenue in Dollars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2721312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Revenue, Cash Costs, and Cash</a:t>
            </a:r>
            <a:r>
              <a:rPr lang="en-US" baseline="0"/>
              <a:t> Returns-Corn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622750004935629E-2"/>
          <c:y val="7.0124297840721869E-2"/>
          <c:w val="0.89345090624404333"/>
          <c:h val="0.86345071648290694"/>
        </c:manualLayout>
      </c:layout>
      <c:scatterChart>
        <c:scatterStyle val="smoothMarker"/>
        <c:varyColors val="0"/>
        <c:ser>
          <c:idx val="4"/>
          <c:order val="0"/>
          <c:tx>
            <c:v>Revenue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'Saline-Revenue Data'!$B$9:$B$19</c:f>
              <c:numCache>
                <c:formatCode>General</c:formatCode>
                <c:ptCount val="11"/>
                <c:pt idx="0">
                  <c:v>0</c:v>
                </c:pt>
                <c:pt idx="1">
                  <c:v>1.96</c:v>
                </c:pt>
                <c:pt idx="2">
                  <c:v>2.96</c:v>
                </c:pt>
                <c:pt idx="3">
                  <c:v>3.96</c:v>
                </c:pt>
                <c:pt idx="4">
                  <c:v>4.96</c:v>
                </c:pt>
                <c:pt idx="5">
                  <c:v>5.96</c:v>
                </c:pt>
                <c:pt idx="6">
                  <c:v>6.96</c:v>
                </c:pt>
                <c:pt idx="7">
                  <c:v>7.96</c:v>
                </c:pt>
                <c:pt idx="8">
                  <c:v>8.9600000000000009</c:v>
                </c:pt>
                <c:pt idx="9">
                  <c:v>9.9600000000000009</c:v>
                </c:pt>
                <c:pt idx="10">
                  <c:v>10.46</c:v>
                </c:pt>
              </c:numCache>
            </c:numRef>
          </c:xVal>
          <c:yVal>
            <c:numRef>
              <c:f>'Saline-Revenue Data'!$E$9:$E$19</c:f>
              <c:numCache>
                <c:formatCode>_("$"* #,##0.00_);_("$"* \(#,##0.00\);_("$"* "-"??_);_(@_)</c:formatCode>
                <c:ptCount val="11"/>
                <c:pt idx="0">
                  <c:v>472.5</c:v>
                </c:pt>
                <c:pt idx="1">
                  <c:v>472.5</c:v>
                </c:pt>
                <c:pt idx="2">
                  <c:v>416.745</c:v>
                </c:pt>
                <c:pt idx="3">
                  <c:v>360.99</c:v>
                </c:pt>
                <c:pt idx="4">
                  <c:v>305.23500000000001</c:v>
                </c:pt>
                <c:pt idx="5">
                  <c:v>249.48000000000002</c:v>
                </c:pt>
                <c:pt idx="6">
                  <c:v>193.72499999999999</c:v>
                </c:pt>
                <c:pt idx="7">
                  <c:v>137.97</c:v>
                </c:pt>
                <c:pt idx="8">
                  <c:v>82.215000000000018</c:v>
                </c:pt>
                <c:pt idx="9">
                  <c:v>26.460000000000022</c:v>
                </c:pt>
                <c:pt idx="10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v>Cash Costs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'Saline-Revenue Data'!$B$9:$B$19</c:f>
              <c:numCache>
                <c:formatCode>General</c:formatCode>
                <c:ptCount val="11"/>
                <c:pt idx="0">
                  <c:v>0</c:v>
                </c:pt>
                <c:pt idx="1">
                  <c:v>1.96</c:v>
                </c:pt>
                <c:pt idx="2">
                  <c:v>2.96</c:v>
                </c:pt>
                <c:pt idx="3">
                  <c:v>3.96</c:v>
                </c:pt>
                <c:pt idx="4">
                  <c:v>4.96</c:v>
                </c:pt>
                <c:pt idx="5">
                  <c:v>5.96</c:v>
                </c:pt>
                <c:pt idx="6">
                  <c:v>6.96</c:v>
                </c:pt>
                <c:pt idx="7">
                  <c:v>7.96</c:v>
                </c:pt>
                <c:pt idx="8">
                  <c:v>8.9600000000000009</c:v>
                </c:pt>
                <c:pt idx="9">
                  <c:v>9.9600000000000009</c:v>
                </c:pt>
                <c:pt idx="10">
                  <c:v>10.46</c:v>
                </c:pt>
              </c:numCache>
            </c:numRef>
          </c:xVal>
          <c:yVal>
            <c:numRef>
              <c:f>'Saline-Revenue Data'!$F$9:$F$19</c:f>
              <c:numCache>
                <c:formatCode>_("$"* #,##0.00_);_("$"* \(#,##0.00\);_("$"* "-"??_);_(@_)</c:formatCode>
                <c:ptCount val="11"/>
                <c:pt idx="0">
                  <c:v>311.32000000000005</c:v>
                </c:pt>
                <c:pt idx="1">
                  <c:v>311.32000000000005</c:v>
                </c:pt>
                <c:pt idx="2">
                  <c:v>301.79386</c:v>
                </c:pt>
                <c:pt idx="3">
                  <c:v>292.26772</c:v>
                </c:pt>
                <c:pt idx="4">
                  <c:v>245.23158000000004</c:v>
                </c:pt>
                <c:pt idx="5">
                  <c:v>235.70544000000004</c:v>
                </c:pt>
                <c:pt idx="6">
                  <c:v>226.17930000000004</c:v>
                </c:pt>
                <c:pt idx="7">
                  <c:v>216.65316000000004</c:v>
                </c:pt>
                <c:pt idx="8">
                  <c:v>207.12702000000004</c:v>
                </c:pt>
                <c:pt idx="9">
                  <c:v>197.60088000000005</c:v>
                </c:pt>
                <c:pt idx="10">
                  <c:v>193.08000000000004</c:v>
                </c:pt>
              </c:numCache>
            </c:numRef>
          </c:yVal>
          <c:smooth val="1"/>
        </c:ser>
        <c:ser>
          <c:idx val="7"/>
          <c:order val="2"/>
          <c:tx>
            <c:v>Cash Returns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'Saline-Revenue Data'!$B$9:$B$19</c:f>
              <c:numCache>
                <c:formatCode>General</c:formatCode>
                <c:ptCount val="11"/>
                <c:pt idx="0">
                  <c:v>0</c:v>
                </c:pt>
                <c:pt idx="1">
                  <c:v>1.96</c:v>
                </c:pt>
                <c:pt idx="2">
                  <c:v>2.96</c:v>
                </c:pt>
                <c:pt idx="3">
                  <c:v>3.96</c:v>
                </c:pt>
                <c:pt idx="4">
                  <c:v>4.96</c:v>
                </c:pt>
                <c:pt idx="5">
                  <c:v>5.96</c:v>
                </c:pt>
                <c:pt idx="6">
                  <c:v>6.96</c:v>
                </c:pt>
                <c:pt idx="7">
                  <c:v>7.96</c:v>
                </c:pt>
                <c:pt idx="8">
                  <c:v>8.9600000000000009</c:v>
                </c:pt>
                <c:pt idx="9">
                  <c:v>9.9600000000000009</c:v>
                </c:pt>
                <c:pt idx="10">
                  <c:v>10.46</c:v>
                </c:pt>
              </c:numCache>
            </c:numRef>
          </c:xVal>
          <c:yVal>
            <c:numRef>
              <c:f>'Saline-Revenue Data'!$H$9:$H$19</c:f>
              <c:numCache>
                <c:formatCode>_("$"* #,##0.00_);_("$"* \(#,##0.00\);_("$"* "-"??_);_(@_)</c:formatCode>
                <c:ptCount val="11"/>
                <c:pt idx="0">
                  <c:v>161.17999999999995</c:v>
                </c:pt>
                <c:pt idx="1">
                  <c:v>161.17999999999995</c:v>
                </c:pt>
                <c:pt idx="2">
                  <c:v>114.95114000000001</c:v>
                </c:pt>
                <c:pt idx="3">
                  <c:v>68.722280000000012</c:v>
                </c:pt>
                <c:pt idx="4">
                  <c:v>60.003419999999977</c:v>
                </c:pt>
                <c:pt idx="5">
                  <c:v>13.77455999999998</c:v>
                </c:pt>
                <c:pt idx="6">
                  <c:v>-32.454300000000046</c:v>
                </c:pt>
                <c:pt idx="7">
                  <c:v>-78.683160000000044</c:v>
                </c:pt>
                <c:pt idx="8">
                  <c:v>-124.91202000000003</c:v>
                </c:pt>
                <c:pt idx="9">
                  <c:v>-171.14088000000004</c:v>
                </c:pt>
                <c:pt idx="10">
                  <c:v>-193.08000000000004</c:v>
                </c:pt>
              </c:numCache>
            </c:numRef>
          </c:yVal>
          <c:smooth val="1"/>
        </c:ser>
        <c:ser>
          <c:idx val="0"/>
          <c:order val="3"/>
          <c:tx>
            <c:v>Salinity</c:v>
          </c:tx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'Saline-Revenue Data'!$AB$9:$AB$10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'Saline-Revenue Data'!$AC$9:$AC$10</c:f>
              <c:numCache>
                <c:formatCode>General</c:formatCode>
                <c:ptCount val="2"/>
                <c:pt idx="0">
                  <c:v>500</c:v>
                </c:pt>
                <c:pt idx="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014696"/>
        <c:axId val="322015088"/>
      </c:scatterChart>
      <c:valAx>
        <c:axId val="322014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0" i="0" baseline="0">
                    <a:effectLst/>
                  </a:rPr>
                  <a:t>Salinity (mmhos/cm) 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1509093266435132"/>
              <c:y val="0.69176709073493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2015088"/>
        <c:crosses val="autoZero"/>
        <c:crossBetween val="midCat"/>
      </c:valAx>
      <c:valAx>
        <c:axId val="322015088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2014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288925</xdr:colOff>
      <xdr:row>0</xdr:row>
      <xdr:rowOff>30162</xdr:rowOff>
    </xdr:from>
    <xdr:to>
      <xdr:col>8</xdr:col>
      <xdr:colOff>593725</xdr:colOff>
      <xdr:row>13</xdr:row>
      <xdr:rowOff>134937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615950</xdr:colOff>
      <xdr:row>0</xdr:row>
      <xdr:rowOff>30161</xdr:rowOff>
    </xdr:from>
    <xdr:to>
      <xdr:col>14</xdr:col>
      <xdr:colOff>482600</xdr:colOff>
      <xdr:row>13</xdr:row>
      <xdr:rowOff>134936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0788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topLeftCell="A18" workbookViewId="0">
      <selection activeCell="D30" sqref="D30"/>
    </sheetView>
  </sheetViews>
  <sheetFormatPr defaultRowHeight="15" x14ac:dyDescent="0.25"/>
  <cols>
    <col min="1" max="1" width="29.140625" style="1" bestFit="1" customWidth="1"/>
    <col min="2" max="16384" width="9.140625" style="1"/>
  </cols>
  <sheetData>
    <row r="1" spans="1:13" x14ac:dyDescent="0.25">
      <c r="F1" s="19"/>
      <c r="G1" s="19"/>
      <c r="H1" s="19"/>
      <c r="I1" s="19"/>
      <c r="J1" s="19"/>
      <c r="K1" s="19"/>
      <c r="L1" s="19"/>
      <c r="M1" s="19"/>
    </row>
    <row r="2" spans="1:13" x14ac:dyDescent="0.25">
      <c r="F2" s="19"/>
      <c r="G2" s="19"/>
      <c r="H2" s="19"/>
      <c r="I2" s="19"/>
      <c r="J2" s="19"/>
      <c r="K2" s="19"/>
      <c r="L2" s="19"/>
      <c r="M2" s="19"/>
    </row>
    <row r="3" spans="1:13" x14ac:dyDescent="0.25">
      <c r="F3" s="19"/>
      <c r="G3" s="19"/>
      <c r="H3" s="19"/>
      <c r="I3" s="19"/>
      <c r="J3" s="19"/>
      <c r="K3" s="19"/>
      <c r="L3" s="19"/>
      <c r="M3" s="19"/>
    </row>
    <row r="4" spans="1:13" x14ac:dyDescent="0.25">
      <c r="F4" s="19"/>
      <c r="G4" s="19"/>
      <c r="H4" s="19"/>
      <c r="I4" s="19"/>
      <c r="J4" s="19"/>
      <c r="K4" s="19"/>
      <c r="L4" s="19"/>
      <c r="M4" s="19"/>
    </row>
    <row r="5" spans="1:13" x14ac:dyDescent="0.25">
      <c r="B5" s="2" t="s">
        <v>1</v>
      </c>
      <c r="D5" s="3" t="s">
        <v>2</v>
      </c>
    </row>
    <row r="6" spans="1:13" ht="15.75" thickBot="1" x14ac:dyDescent="0.3">
      <c r="A6" s="4" t="s">
        <v>0</v>
      </c>
    </row>
    <row r="7" spans="1:13" ht="15.75" thickBot="1" x14ac:dyDescent="0.3">
      <c r="A7" s="5" t="s">
        <v>33</v>
      </c>
      <c r="B7" s="6"/>
      <c r="D7" s="6"/>
      <c r="E7" s="6"/>
      <c r="F7" s="7"/>
    </row>
    <row r="8" spans="1:13" x14ac:dyDescent="0.25">
      <c r="A8" s="1" t="s">
        <v>3</v>
      </c>
      <c r="B8" s="8">
        <v>58</v>
      </c>
      <c r="C8" s="9">
        <f>IF('Salinity Calculator'!B$2&lt;6,1,(IF('Salinity Calculator'!B$2&gt;20,0,1-('Salinity Calculator'!B$2-6)*100/1400)))*B8</f>
        <v>58</v>
      </c>
    </row>
    <row r="9" spans="1:13" x14ac:dyDescent="0.25">
      <c r="A9" s="1" t="s">
        <v>4</v>
      </c>
      <c r="B9" s="10">
        <v>5.42</v>
      </c>
      <c r="C9" s="10">
        <v>5.42</v>
      </c>
    </row>
    <row r="10" spans="1:13" x14ac:dyDescent="0.25">
      <c r="A10" s="1" t="s">
        <v>5</v>
      </c>
      <c r="B10" s="11">
        <f>B8*B9</f>
        <v>314.36</v>
      </c>
      <c r="C10" s="11">
        <f>C8*C9</f>
        <v>314.36</v>
      </c>
    </row>
    <row r="11" spans="1:13" x14ac:dyDescent="0.25">
      <c r="C11" s="12"/>
    </row>
    <row r="12" spans="1:13" ht="15.75" thickBot="1" x14ac:dyDescent="0.3">
      <c r="A12" s="1" t="s">
        <v>6</v>
      </c>
      <c r="C12" s="12"/>
    </row>
    <row r="13" spans="1:13" ht="15.75" thickBot="1" x14ac:dyDescent="0.3">
      <c r="A13" s="13" t="s">
        <v>7</v>
      </c>
      <c r="B13" s="14">
        <v>18.5</v>
      </c>
      <c r="C13" s="15">
        <f>C$8/B$8*B13</f>
        <v>18.5</v>
      </c>
    </row>
    <row r="14" spans="1:13" x14ac:dyDescent="0.25">
      <c r="A14" s="16" t="s">
        <v>8</v>
      </c>
      <c r="B14" s="17">
        <v>22</v>
      </c>
      <c r="C14" s="17">
        <v>22</v>
      </c>
    </row>
    <row r="15" spans="1:13" x14ac:dyDescent="0.25">
      <c r="A15" s="16" t="s">
        <v>9</v>
      </c>
      <c r="B15" s="17">
        <v>17</v>
      </c>
      <c r="C15" s="17">
        <v>17</v>
      </c>
    </row>
    <row r="16" spans="1:13" ht="15.75" thickBot="1" x14ac:dyDescent="0.3">
      <c r="A16" s="16" t="s">
        <v>10</v>
      </c>
      <c r="B16" s="17">
        <v>0</v>
      </c>
      <c r="C16" s="17">
        <v>0</v>
      </c>
      <c r="D16" s="12" t="s">
        <v>11</v>
      </c>
      <c r="L16" s="1" t="s">
        <v>34</v>
      </c>
    </row>
    <row r="17" spans="1:12" ht="15.75" thickBot="1" x14ac:dyDescent="0.3">
      <c r="A17" s="13" t="s">
        <v>12</v>
      </c>
      <c r="B17" s="14">
        <v>75.099999999999994</v>
      </c>
      <c r="C17" s="15">
        <f>C$8/B$8*B17</f>
        <v>75.099999999999994</v>
      </c>
      <c r="L17" s="1" t="s">
        <v>35</v>
      </c>
    </row>
    <row r="18" spans="1:12" x14ac:dyDescent="0.25">
      <c r="A18" s="16" t="s">
        <v>13</v>
      </c>
      <c r="B18" s="17">
        <v>9.4</v>
      </c>
      <c r="C18" s="17">
        <v>9.4</v>
      </c>
    </row>
    <row r="19" spans="1:12" x14ac:dyDescent="0.25">
      <c r="A19" s="16" t="s">
        <v>14</v>
      </c>
      <c r="B19" s="17">
        <v>13.05</v>
      </c>
      <c r="C19" s="17">
        <v>13.05</v>
      </c>
    </row>
    <row r="20" spans="1:12" x14ac:dyDescent="0.25">
      <c r="A20" s="16" t="s">
        <v>15</v>
      </c>
      <c r="B20" s="17">
        <v>20.61</v>
      </c>
      <c r="C20" s="17">
        <v>20.61</v>
      </c>
    </row>
    <row r="21" spans="1:12" x14ac:dyDescent="0.25">
      <c r="A21" s="16" t="s">
        <v>16</v>
      </c>
      <c r="B21" s="17">
        <v>0</v>
      </c>
      <c r="C21" s="17">
        <v>0</v>
      </c>
    </row>
    <row r="22" spans="1:12" x14ac:dyDescent="0.25">
      <c r="A22" s="16" t="s">
        <v>17</v>
      </c>
      <c r="B22" s="17">
        <v>7.5</v>
      </c>
      <c r="C22" s="17">
        <v>7.5</v>
      </c>
    </row>
    <row r="23" spans="1:12" x14ac:dyDescent="0.25">
      <c r="A23" s="16" t="s">
        <v>18</v>
      </c>
      <c r="B23" s="10">
        <v>3.89</v>
      </c>
      <c r="C23" s="10">
        <v>3.89</v>
      </c>
    </row>
    <row r="24" spans="1:12" x14ac:dyDescent="0.25">
      <c r="A24" s="1" t="s">
        <v>19</v>
      </c>
      <c r="B24" s="11">
        <f>SUM(B13:B23)</f>
        <v>187.05</v>
      </c>
      <c r="C24" s="11">
        <f>SUM(C13:C23)</f>
        <v>187.05</v>
      </c>
      <c r="D24" s="11">
        <f>C24-C17-C13</f>
        <v>93.450000000000017</v>
      </c>
    </row>
    <row r="25" spans="1:12" x14ac:dyDescent="0.25">
      <c r="B25" s="11"/>
      <c r="C25" s="11"/>
    </row>
    <row r="26" spans="1:12" x14ac:dyDescent="0.25">
      <c r="A26" s="1" t="s">
        <v>20</v>
      </c>
      <c r="B26" s="11"/>
      <c r="C26" s="11"/>
    </row>
    <row r="27" spans="1:12" x14ac:dyDescent="0.25">
      <c r="A27" s="16" t="s">
        <v>21</v>
      </c>
      <c r="B27" s="17"/>
      <c r="C27" s="17"/>
    </row>
    <row r="28" spans="1:12" x14ac:dyDescent="0.25">
      <c r="A28" s="16" t="s">
        <v>22</v>
      </c>
      <c r="B28" s="17"/>
      <c r="C28" s="17"/>
    </row>
    <row r="29" spans="1:12" x14ac:dyDescent="0.25">
      <c r="A29" s="16" t="s">
        <v>23</v>
      </c>
      <c r="B29" s="17"/>
      <c r="C29" s="17"/>
    </row>
    <row r="30" spans="1:12" x14ac:dyDescent="0.25">
      <c r="A30" s="16" t="s">
        <v>24</v>
      </c>
      <c r="B30" s="10"/>
      <c r="C30" s="9"/>
    </row>
    <row r="31" spans="1:12" x14ac:dyDescent="0.25">
      <c r="A31" s="1" t="s">
        <v>25</v>
      </c>
      <c r="B31" s="11">
        <f>SUM(B27:B30)</f>
        <v>0</v>
      </c>
      <c r="C31" s="11">
        <f>SUM(C27:C30)</f>
        <v>0</v>
      </c>
    </row>
    <row r="32" spans="1:12" x14ac:dyDescent="0.25">
      <c r="B32" s="11"/>
      <c r="C32" s="11"/>
    </row>
    <row r="33" spans="1:3" x14ac:dyDescent="0.25">
      <c r="A33" s="1" t="s">
        <v>26</v>
      </c>
      <c r="B33" s="11">
        <f>B24+B31</f>
        <v>187.05</v>
      </c>
      <c r="C33" s="11">
        <f>C24+C31</f>
        <v>187.05</v>
      </c>
    </row>
    <row r="34" spans="1:3" x14ac:dyDescent="0.25">
      <c r="B34" s="11"/>
      <c r="C34" s="11"/>
    </row>
    <row r="35" spans="1:3" x14ac:dyDescent="0.25">
      <c r="A35" s="1" t="s">
        <v>27</v>
      </c>
      <c r="B35" s="11">
        <f>B10-B33</f>
        <v>127.31</v>
      </c>
      <c r="C35" s="11">
        <f>C10-C33</f>
        <v>127.31</v>
      </c>
    </row>
    <row r="36" spans="1:3" x14ac:dyDescent="0.25">
      <c r="B36" s="11"/>
      <c r="C36" s="11"/>
    </row>
    <row r="37" spans="1:3" x14ac:dyDescent="0.25">
      <c r="A37" s="1" t="s">
        <v>28</v>
      </c>
      <c r="B37" s="18" t="s">
        <v>29</v>
      </c>
      <c r="C37" s="18" t="s">
        <v>29</v>
      </c>
    </row>
    <row r="38" spans="1:3" x14ac:dyDescent="0.25">
      <c r="A38" s="16" t="s">
        <v>30</v>
      </c>
      <c r="B38" s="11">
        <f>B24/B8</f>
        <v>3.2250000000000001</v>
      </c>
      <c r="C38" s="11">
        <f>C24/C8</f>
        <v>3.2250000000000001</v>
      </c>
    </row>
    <row r="39" spans="1:3" x14ac:dyDescent="0.25">
      <c r="A39" s="1" t="s">
        <v>31</v>
      </c>
      <c r="B39" s="11">
        <f>B31/B8</f>
        <v>0</v>
      </c>
      <c r="C39" s="11">
        <f>C31/C8</f>
        <v>0</v>
      </c>
    </row>
    <row r="40" spans="1:3" x14ac:dyDescent="0.25">
      <c r="A40" s="1" t="s">
        <v>32</v>
      </c>
      <c r="B40" s="11">
        <f>B33/B8</f>
        <v>3.2250000000000001</v>
      </c>
      <c r="C40" s="11">
        <f>C33/C8</f>
        <v>3.2250000000000001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4"/>
  <sheetViews>
    <sheetView topLeftCell="A5" workbookViewId="0">
      <selection activeCell="D24" sqref="D24"/>
    </sheetView>
  </sheetViews>
  <sheetFormatPr defaultRowHeight="15" x14ac:dyDescent="0.25"/>
  <cols>
    <col min="1" max="1" width="29.140625" bestFit="1" customWidth="1"/>
    <col min="2" max="2" width="8.42578125" bestFit="1" customWidth="1"/>
  </cols>
  <sheetData>
    <row r="1" spans="1:4" x14ac:dyDescent="0.25">
      <c r="A1" s="20" t="s">
        <v>41</v>
      </c>
      <c r="B1" s="21" t="s">
        <v>1</v>
      </c>
      <c r="C1" s="22" t="s">
        <v>2</v>
      </c>
    </row>
    <row r="2" spans="1:4" x14ac:dyDescent="0.25">
      <c r="A2" t="s">
        <v>3</v>
      </c>
      <c r="B2" s="23">
        <v>135</v>
      </c>
      <c r="C2" s="24"/>
      <c r="D2">
        <f>321/3.5</f>
        <v>91.714285714285708</v>
      </c>
    </row>
    <row r="3" spans="1:4" x14ac:dyDescent="0.25">
      <c r="A3" t="s">
        <v>4</v>
      </c>
      <c r="B3" s="25">
        <v>3.5</v>
      </c>
      <c r="C3" s="24"/>
    </row>
    <row r="4" spans="1:4" x14ac:dyDescent="0.25">
      <c r="A4" t="s">
        <v>5</v>
      </c>
      <c r="B4" s="26">
        <f>B2*B3</f>
        <v>472.5</v>
      </c>
      <c r="C4" s="24"/>
    </row>
    <row r="5" spans="1:4" x14ac:dyDescent="0.25">
      <c r="C5" s="24"/>
    </row>
    <row r="6" spans="1:4" x14ac:dyDescent="0.25">
      <c r="A6" t="s">
        <v>6</v>
      </c>
      <c r="C6" s="24"/>
      <c r="D6" t="s">
        <v>45</v>
      </c>
    </row>
    <row r="7" spans="1:4" x14ac:dyDescent="0.25">
      <c r="A7" s="27" t="s">
        <v>7</v>
      </c>
      <c r="B7" s="28">
        <v>95.48</v>
      </c>
      <c r="C7" s="24"/>
    </row>
    <row r="8" spans="1:4" x14ac:dyDescent="0.25">
      <c r="A8" s="27" t="s">
        <v>8</v>
      </c>
      <c r="B8" s="28">
        <v>24</v>
      </c>
      <c r="C8" s="24"/>
    </row>
    <row r="9" spans="1:4" x14ac:dyDescent="0.25">
      <c r="A9" s="27" t="s">
        <v>9</v>
      </c>
      <c r="B9" s="28">
        <v>0</v>
      </c>
      <c r="C9" s="24"/>
    </row>
    <row r="10" spans="1:4" x14ac:dyDescent="0.25">
      <c r="A10" s="27" t="s">
        <v>10</v>
      </c>
      <c r="B10" s="28">
        <v>0</v>
      </c>
      <c r="C10" s="24"/>
    </row>
    <row r="11" spans="1:4" x14ac:dyDescent="0.25">
      <c r="A11" s="27" t="s">
        <v>12</v>
      </c>
      <c r="B11" s="28">
        <v>90.72</v>
      </c>
      <c r="C11" s="24"/>
    </row>
    <row r="12" spans="1:4" x14ac:dyDescent="0.25">
      <c r="A12" s="27" t="s">
        <v>13</v>
      </c>
      <c r="B12" s="28">
        <v>23.8</v>
      </c>
      <c r="C12" s="24"/>
    </row>
    <row r="13" spans="1:4" x14ac:dyDescent="0.25">
      <c r="A13" s="27" t="s">
        <v>14</v>
      </c>
      <c r="B13" s="28">
        <v>18.27</v>
      </c>
      <c r="C13" s="24"/>
    </row>
    <row r="14" spans="1:4" x14ac:dyDescent="0.25">
      <c r="A14" s="27" t="s">
        <v>15</v>
      </c>
      <c r="B14" s="28">
        <v>26.51</v>
      </c>
      <c r="C14" s="24"/>
    </row>
    <row r="15" spans="1:4" x14ac:dyDescent="0.25">
      <c r="A15" s="27" t="s">
        <v>16</v>
      </c>
      <c r="B15" s="28">
        <v>28.35</v>
      </c>
      <c r="C15" s="24"/>
    </row>
    <row r="16" spans="1:4" x14ac:dyDescent="0.25">
      <c r="A16" s="27" t="s">
        <v>17</v>
      </c>
      <c r="B16" s="28">
        <v>7.5</v>
      </c>
      <c r="C16" s="24"/>
    </row>
    <row r="17" spans="1:4" x14ac:dyDescent="0.25">
      <c r="A17" s="27" t="s">
        <v>18</v>
      </c>
      <c r="B17" s="25">
        <v>6.68</v>
      </c>
      <c r="C17" s="24"/>
    </row>
    <row r="18" spans="1:4" x14ac:dyDescent="0.25">
      <c r="A18" t="s">
        <v>19</v>
      </c>
      <c r="B18" s="26">
        <f>SUM(B7:B17)</f>
        <v>321.31000000000006</v>
      </c>
      <c r="C18" s="24"/>
      <c r="D18" s="26">
        <f>B18-B7-B11</f>
        <v>135.11000000000004</v>
      </c>
    </row>
    <row r="19" spans="1:4" x14ac:dyDescent="0.25">
      <c r="B19" s="26"/>
      <c r="C19" s="24"/>
    </row>
    <row r="20" spans="1:4" x14ac:dyDescent="0.25">
      <c r="A20" t="s">
        <v>20</v>
      </c>
      <c r="B20" s="26"/>
      <c r="C20" s="24"/>
    </row>
    <row r="21" spans="1:4" x14ac:dyDescent="0.25">
      <c r="A21" s="27" t="s">
        <v>21</v>
      </c>
      <c r="B21" s="29">
        <v>10.54</v>
      </c>
      <c r="C21" s="24"/>
    </row>
    <row r="22" spans="1:4" x14ac:dyDescent="0.25">
      <c r="A22" s="27" t="s">
        <v>22</v>
      </c>
      <c r="B22" s="29">
        <v>35.35</v>
      </c>
      <c r="C22" s="24"/>
    </row>
    <row r="23" spans="1:4" x14ac:dyDescent="0.25">
      <c r="A23" s="27" t="s">
        <v>23</v>
      </c>
      <c r="B23" s="29">
        <v>20.28</v>
      </c>
      <c r="C23" s="24"/>
      <c r="D23" s="26">
        <f>B23+B22+B21</f>
        <v>66.17</v>
      </c>
    </row>
    <row r="24" spans="1:4" x14ac:dyDescent="0.25">
      <c r="A24" s="27" t="s">
        <v>24</v>
      </c>
      <c r="B24" s="30">
        <v>123</v>
      </c>
      <c r="C24" s="24"/>
    </row>
    <row r="25" spans="1:4" x14ac:dyDescent="0.25">
      <c r="A25" t="s">
        <v>25</v>
      </c>
      <c r="B25" s="26">
        <f>SUM(B21:B24)</f>
        <v>189.17000000000002</v>
      </c>
      <c r="C25" s="24"/>
    </row>
    <row r="26" spans="1:4" x14ac:dyDescent="0.25">
      <c r="B26" s="26"/>
      <c r="C26" s="24"/>
    </row>
    <row r="27" spans="1:4" x14ac:dyDescent="0.25">
      <c r="A27" t="s">
        <v>26</v>
      </c>
      <c r="B27" s="26">
        <f>B18+B25</f>
        <v>510.48000000000008</v>
      </c>
      <c r="C27" s="24"/>
    </row>
    <row r="28" spans="1:4" x14ac:dyDescent="0.25">
      <c r="B28" s="26"/>
      <c r="C28" s="24"/>
    </row>
    <row r="29" spans="1:4" x14ac:dyDescent="0.25">
      <c r="A29" t="s">
        <v>27</v>
      </c>
      <c r="B29" s="26">
        <f>B4-B27</f>
        <v>-37.980000000000075</v>
      </c>
      <c r="C29" s="24"/>
    </row>
    <row r="30" spans="1:4" x14ac:dyDescent="0.25">
      <c r="B30" s="26"/>
      <c r="C30" s="24"/>
    </row>
    <row r="31" spans="1:4" x14ac:dyDescent="0.25">
      <c r="A31" t="s">
        <v>28</v>
      </c>
      <c r="B31" s="31" t="s">
        <v>29</v>
      </c>
      <c r="C31" s="24"/>
    </row>
    <row r="32" spans="1:4" x14ac:dyDescent="0.25">
      <c r="A32" s="27" t="s">
        <v>30</v>
      </c>
      <c r="B32" s="26">
        <f>B18/B2</f>
        <v>2.3800740740740745</v>
      </c>
      <c r="C32" s="24"/>
    </row>
    <row r="33" spans="1:3" x14ac:dyDescent="0.25">
      <c r="A33" t="s">
        <v>31</v>
      </c>
      <c r="B33" s="26">
        <f>B25/B2</f>
        <v>1.4012592592592594</v>
      </c>
      <c r="C33" s="24"/>
    </row>
    <row r="34" spans="1:3" x14ac:dyDescent="0.25">
      <c r="A34" t="s">
        <v>32</v>
      </c>
      <c r="B34" s="26">
        <f>B27/B2</f>
        <v>3.7813333333333339</v>
      </c>
      <c r="C34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4"/>
  <sheetViews>
    <sheetView topLeftCell="B4" workbookViewId="0">
      <selection activeCell="C24" sqref="C24"/>
    </sheetView>
  </sheetViews>
  <sheetFormatPr defaultRowHeight="15" x14ac:dyDescent="0.25"/>
  <cols>
    <col min="1" max="1" width="31.7109375" customWidth="1"/>
    <col min="2" max="2" width="10.7109375" customWidth="1"/>
    <col min="3" max="3" width="51.7109375" customWidth="1"/>
  </cols>
  <sheetData>
    <row r="1" spans="1:3" x14ac:dyDescent="0.25">
      <c r="A1" s="20" t="s">
        <v>42</v>
      </c>
      <c r="B1" s="21" t="s">
        <v>1</v>
      </c>
      <c r="C1" s="22" t="s">
        <v>2</v>
      </c>
    </row>
    <row r="2" spans="1:3" x14ac:dyDescent="0.25">
      <c r="A2" t="s">
        <v>3</v>
      </c>
      <c r="B2" s="23">
        <v>34</v>
      </c>
      <c r="C2" s="24"/>
    </row>
    <row r="3" spans="1:3" x14ac:dyDescent="0.25">
      <c r="A3" t="s">
        <v>4</v>
      </c>
      <c r="B3" s="25">
        <v>8.1199999999999992</v>
      </c>
      <c r="C3" s="24"/>
    </row>
    <row r="4" spans="1:3" x14ac:dyDescent="0.25">
      <c r="A4" t="s">
        <v>5</v>
      </c>
      <c r="B4" s="26">
        <f>B2*B3</f>
        <v>276.08</v>
      </c>
      <c r="C4" s="24"/>
    </row>
    <row r="5" spans="1:3" x14ac:dyDescent="0.25">
      <c r="C5" s="24"/>
    </row>
    <row r="6" spans="1:3" x14ac:dyDescent="0.25">
      <c r="A6" t="s">
        <v>6</v>
      </c>
      <c r="C6" s="24"/>
    </row>
    <row r="7" spans="1:3" x14ac:dyDescent="0.25">
      <c r="A7" s="27" t="s">
        <v>7</v>
      </c>
      <c r="B7" s="28">
        <v>65.75</v>
      </c>
      <c r="C7" s="24" t="s">
        <v>43</v>
      </c>
    </row>
    <row r="8" spans="1:3" x14ac:dyDescent="0.25">
      <c r="A8" s="27" t="s">
        <v>8</v>
      </c>
      <c r="B8" s="28">
        <v>22</v>
      </c>
      <c r="C8" s="24"/>
    </row>
    <row r="9" spans="1:3" x14ac:dyDescent="0.25">
      <c r="A9" s="27" t="s">
        <v>9</v>
      </c>
      <c r="B9" s="28">
        <v>0</v>
      </c>
      <c r="C9" s="24"/>
    </row>
    <row r="10" spans="1:3" x14ac:dyDescent="0.25">
      <c r="A10" s="27" t="s">
        <v>10</v>
      </c>
      <c r="B10" s="28">
        <v>4</v>
      </c>
      <c r="C10" s="24" t="s">
        <v>44</v>
      </c>
    </row>
    <row r="11" spans="1:3" x14ac:dyDescent="0.25">
      <c r="A11" s="27" t="s">
        <v>12</v>
      </c>
      <c r="B11" s="28">
        <v>2.92</v>
      </c>
      <c r="C11" s="24"/>
    </row>
    <row r="12" spans="1:3" x14ac:dyDescent="0.25">
      <c r="A12" s="27" t="s">
        <v>13</v>
      </c>
      <c r="B12" s="28">
        <v>10</v>
      </c>
      <c r="C12" s="24"/>
    </row>
    <row r="13" spans="1:3" x14ac:dyDescent="0.25">
      <c r="A13" s="27" t="s">
        <v>14</v>
      </c>
      <c r="B13" s="28">
        <v>10.66</v>
      </c>
      <c r="C13" s="24"/>
    </row>
    <row r="14" spans="1:3" x14ac:dyDescent="0.25">
      <c r="A14" s="27" t="s">
        <v>15</v>
      </c>
      <c r="B14" s="28">
        <v>19.07</v>
      </c>
      <c r="C14" s="24"/>
    </row>
    <row r="15" spans="1:3" x14ac:dyDescent="0.25">
      <c r="A15" s="27" t="s">
        <v>16</v>
      </c>
      <c r="B15" s="28">
        <v>0</v>
      </c>
      <c r="C15" s="24"/>
    </row>
    <row r="16" spans="1:3" x14ac:dyDescent="0.25">
      <c r="A16" s="27" t="s">
        <v>17</v>
      </c>
      <c r="B16" s="28">
        <v>1.5</v>
      </c>
      <c r="C16" s="24"/>
    </row>
    <row r="17" spans="1:3" x14ac:dyDescent="0.25">
      <c r="A17" s="27" t="s">
        <v>18</v>
      </c>
      <c r="B17" s="25">
        <v>2.89</v>
      </c>
      <c r="C17" s="24"/>
    </row>
    <row r="18" spans="1:3" x14ac:dyDescent="0.25">
      <c r="A18" t="s">
        <v>19</v>
      </c>
      <c r="B18" s="26">
        <f>SUM(B7:B17)</f>
        <v>138.79</v>
      </c>
      <c r="C18" s="34">
        <f>B18-B7-B11</f>
        <v>70.11999999999999</v>
      </c>
    </row>
    <row r="19" spans="1:3" x14ac:dyDescent="0.25">
      <c r="B19" s="26"/>
      <c r="C19" s="24"/>
    </row>
    <row r="20" spans="1:3" x14ac:dyDescent="0.25">
      <c r="A20" t="s">
        <v>20</v>
      </c>
      <c r="B20" s="26"/>
      <c r="C20" s="24"/>
    </row>
    <row r="21" spans="1:3" x14ac:dyDescent="0.25">
      <c r="A21" s="27" t="s">
        <v>21</v>
      </c>
      <c r="B21" s="29">
        <v>7.37</v>
      </c>
      <c r="C21" s="24"/>
    </row>
    <row r="22" spans="1:3" x14ac:dyDescent="0.25">
      <c r="A22" s="27" t="s">
        <v>22</v>
      </c>
      <c r="B22" s="29">
        <v>22.25</v>
      </c>
      <c r="C22" s="24"/>
    </row>
    <row r="23" spans="1:3" x14ac:dyDescent="0.25">
      <c r="A23" s="27" t="s">
        <v>23</v>
      </c>
      <c r="B23" s="29">
        <v>12.78</v>
      </c>
      <c r="C23" s="34">
        <f>B21+B22+B23</f>
        <v>42.4</v>
      </c>
    </row>
    <row r="24" spans="1:3" x14ac:dyDescent="0.25">
      <c r="A24" s="27" t="s">
        <v>24</v>
      </c>
      <c r="B24" s="30">
        <v>123</v>
      </c>
      <c r="C24" s="24"/>
    </row>
    <row r="25" spans="1:3" x14ac:dyDescent="0.25">
      <c r="A25" t="s">
        <v>25</v>
      </c>
      <c r="B25" s="26">
        <f>SUM(B21:B24)</f>
        <v>165.4</v>
      </c>
      <c r="C25" s="24"/>
    </row>
    <row r="26" spans="1:3" x14ac:dyDescent="0.25">
      <c r="B26" s="26"/>
      <c r="C26" s="24"/>
    </row>
    <row r="27" spans="1:3" x14ac:dyDescent="0.25">
      <c r="A27" t="s">
        <v>26</v>
      </c>
      <c r="B27" s="26">
        <f>B18+B25</f>
        <v>304.19</v>
      </c>
      <c r="C27" s="24"/>
    </row>
    <row r="28" spans="1:3" x14ac:dyDescent="0.25">
      <c r="B28" s="26"/>
      <c r="C28" s="24"/>
    </row>
    <row r="29" spans="1:3" x14ac:dyDescent="0.25">
      <c r="A29" t="s">
        <v>27</v>
      </c>
      <c r="B29" s="26">
        <f>B4-B27</f>
        <v>-28.110000000000014</v>
      </c>
      <c r="C29" s="24"/>
    </row>
    <row r="30" spans="1:3" x14ac:dyDescent="0.25">
      <c r="B30" s="26"/>
      <c r="C30" s="24"/>
    </row>
    <row r="31" spans="1:3" x14ac:dyDescent="0.25">
      <c r="A31" t="s">
        <v>28</v>
      </c>
      <c r="B31" s="31" t="s">
        <v>29</v>
      </c>
      <c r="C31" s="24"/>
    </row>
    <row r="32" spans="1:3" x14ac:dyDescent="0.25">
      <c r="A32" s="27" t="s">
        <v>30</v>
      </c>
      <c r="B32" s="26">
        <f>B18/B2</f>
        <v>4.0820588235294117</v>
      </c>
      <c r="C32" s="24"/>
    </row>
    <row r="33" spans="1:3" x14ac:dyDescent="0.25">
      <c r="A33" t="s">
        <v>31</v>
      </c>
      <c r="B33" s="26">
        <f>B25/B2</f>
        <v>4.8647058823529417</v>
      </c>
      <c r="C33" s="24"/>
    </row>
    <row r="34" spans="1:3" x14ac:dyDescent="0.25">
      <c r="A34" t="s">
        <v>32</v>
      </c>
      <c r="B34" s="26">
        <f>B27/B2</f>
        <v>8.9467647058823534</v>
      </c>
      <c r="C34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8"/>
  <sheetViews>
    <sheetView tabSelected="1" workbookViewId="0">
      <selection activeCell="A7" sqref="A7"/>
    </sheetView>
  </sheetViews>
  <sheetFormatPr defaultRowHeight="15" x14ac:dyDescent="0.25"/>
  <cols>
    <col min="1" max="16384" width="9.140625" style="1"/>
  </cols>
  <sheetData>
    <row r="1" spans="1:10" ht="15.75" x14ac:dyDescent="0.25">
      <c r="A1" s="38" t="s">
        <v>61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39" t="s">
        <v>60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40"/>
    </row>
    <row r="4" spans="1:10" x14ac:dyDescent="0.25">
      <c r="A4" s="41" t="s">
        <v>68</v>
      </c>
    </row>
    <row r="5" spans="1:10" x14ac:dyDescent="0.25">
      <c r="A5" s="41"/>
    </row>
    <row r="6" spans="1:10" x14ac:dyDescent="0.25">
      <c r="A6" s="41" t="s">
        <v>73</v>
      </c>
    </row>
    <row r="7" spans="1:10" x14ac:dyDescent="0.25">
      <c r="A7" s="41"/>
    </row>
    <row r="8" spans="1:10" x14ac:dyDescent="0.25">
      <c r="A8" s="41" t="s">
        <v>62</v>
      </c>
    </row>
    <row r="9" spans="1:10" x14ac:dyDescent="0.25">
      <c r="A9" s="42"/>
    </row>
    <row r="10" spans="1:10" x14ac:dyDescent="0.25">
      <c r="A10" s="42" t="s">
        <v>59</v>
      </c>
    </row>
    <row r="12" spans="1:10" x14ac:dyDescent="0.25">
      <c r="A12" s="43" t="s">
        <v>63</v>
      </c>
    </row>
    <row r="13" spans="1:10" x14ac:dyDescent="0.25">
      <c r="A13" s="63" t="s">
        <v>70</v>
      </c>
    </row>
    <row r="14" spans="1:10" x14ac:dyDescent="0.25">
      <c r="A14" s="63" t="s">
        <v>69</v>
      </c>
    </row>
    <row r="15" spans="1:10" x14ac:dyDescent="0.25">
      <c r="A15" s="63" t="s">
        <v>64</v>
      </c>
    </row>
    <row r="16" spans="1:10" x14ac:dyDescent="0.25">
      <c r="A16" s="63" t="s">
        <v>71</v>
      </c>
    </row>
    <row r="18" spans="1:1" x14ac:dyDescent="0.25">
      <c r="A18" s="1" t="s">
        <v>72</v>
      </c>
    </row>
  </sheetData>
  <mergeCells count="2">
    <mergeCell ref="A1:J1"/>
    <mergeCell ref="A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1"/>
  <sheetViews>
    <sheetView zoomScaleNormal="100" workbookViewId="0">
      <selection activeCell="B15" sqref="B15"/>
    </sheetView>
  </sheetViews>
  <sheetFormatPr defaultRowHeight="15.75" x14ac:dyDescent="0.25"/>
  <cols>
    <col min="1" max="1" width="19.7109375" style="35" customWidth="1"/>
    <col min="2" max="5" width="12.5703125" style="35" customWidth="1"/>
    <col min="6" max="6" width="15.85546875" style="35" customWidth="1"/>
    <col min="7" max="7" width="13.85546875" style="35" bestFit="1" customWidth="1"/>
    <col min="8" max="8" width="14.85546875" style="35" bestFit="1" customWidth="1"/>
    <col min="9" max="9" width="18" style="35" bestFit="1" customWidth="1"/>
    <col min="10" max="16384" width="9.140625" style="35"/>
  </cols>
  <sheetData>
    <row r="1" spans="1:11" ht="16.5" thickBot="1" x14ac:dyDescent="0.3">
      <c r="A1" s="47"/>
    </row>
    <row r="2" spans="1:11" ht="16.5" thickBot="1" x14ac:dyDescent="0.3">
      <c r="A2" s="47" t="s">
        <v>65</v>
      </c>
      <c r="B2" s="62">
        <v>1</v>
      </c>
    </row>
    <row r="3" spans="1:11" x14ac:dyDescent="0.25">
      <c r="A3" s="47"/>
      <c r="B3" s="37"/>
      <c r="C3" s="37"/>
      <c r="D3" s="37"/>
      <c r="E3" s="37"/>
      <c r="F3" s="37"/>
    </row>
    <row r="4" spans="1:11" x14ac:dyDescent="0.25">
      <c r="A4" s="47"/>
      <c r="B4" s="49" t="s">
        <v>52</v>
      </c>
      <c r="C4" s="49"/>
      <c r="D4" s="49"/>
    </row>
    <row r="5" spans="1:11" ht="16.5" thickBot="1" x14ac:dyDescent="0.3">
      <c r="A5" s="47"/>
      <c r="B5" s="54" t="s">
        <v>38</v>
      </c>
      <c r="C5" s="54" t="s">
        <v>39</v>
      </c>
      <c r="D5" s="54" t="s">
        <v>36</v>
      </c>
      <c r="G5" s="36"/>
      <c r="H5" s="36"/>
      <c r="K5" s="36"/>
    </row>
    <row r="6" spans="1:11" x14ac:dyDescent="0.25">
      <c r="A6" s="47" t="s">
        <v>66</v>
      </c>
      <c r="B6" s="56">
        <v>3.5</v>
      </c>
      <c r="C6" s="57">
        <v>8.1199999999999992</v>
      </c>
      <c r="D6" s="58">
        <v>5.42</v>
      </c>
      <c r="H6" s="36"/>
      <c r="K6" s="36"/>
    </row>
    <row r="7" spans="1:11" ht="16.5" thickBot="1" x14ac:dyDescent="0.3">
      <c r="A7" s="47" t="s">
        <v>67</v>
      </c>
      <c r="B7" s="59">
        <v>135</v>
      </c>
      <c r="C7" s="60">
        <v>34</v>
      </c>
      <c r="D7" s="61">
        <v>58</v>
      </c>
      <c r="H7" s="36"/>
      <c r="K7" s="36"/>
    </row>
    <row r="8" spans="1:11" x14ac:dyDescent="0.25">
      <c r="A8" s="47"/>
      <c r="B8" s="47"/>
      <c r="C8" s="48"/>
      <c r="D8" s="47"/>
      <c r="K8" s="36"/>
    </row>
    <row r="9" spans="1:11" x14ac:dyDescent="0.25">
      <c r="A9" s="47"/>
      <c r="B9" s="49" t="s">
        <v>53</v>
      </c>
      <c r="C9" s="49"/>
      <c r="D9" s="49"/>
    </row>
    <row r="10" spans="1:11" x14ac:dyDescent="0.25">
      <c r="A10" s="47"/>
      <c r="B10" s="47" t="s">
        <v>38</v>
      </c>
      <c r="C10" s="47" t="s">
        <v>39</v>
      </c>
      <c r="D10" s="47" t="s">
        <v>36</v>
      </c>
    </row>
    <row r="11" spans="1:11" x14ac:dyDescent="0.25">
      <c r="A11" s="47" t="s">
        <v>51</v>
      </c>
      <c r="B11" s="46">
        <f>B6</f>
        <v>3.5</v>
      </c>
      <c r="C11" s="46">
        <f>C6</f>
        <v>8.1199999999999992</v>
      </c>
      <c r="D11" s="46">
        <f>D6</f>
        <v>5.42</v>
      </c>
    </row>
    <row r="12" spans="1:11" x14ac:dyDescent="0.25">
      <c r="A12" s="47" t="s">
        <v>37</v>
      </c>
      <c r="B12" s="45">
        <f>IF($B$2&lt;1.96,B7,IF($B$2&gt;10.4,0,(1-0.118*($B$2-1.96))*B7))</f>
        <v>135</v>
      </c>
      <c r="C12" s="45">
        <f>IF($B$2&lt;1.12,C7,IF($B$2&gt;5.8,0,(1-0.21*($B$2-1.12))*C7))</f>
        <v>34</v>
      </c>
      <c r="D12" s="45">
        <f>IF($B$2&lt;4.5,D7,IF($B$2&gt;8.8,0,(1-0.23*($B$2-4.5))*D7))</f>
        <v>58</v>
      </c>
    </row>
    <row r="13" spans="1:11" x14ac:dyDescent="0.25">
      <c r="A13" s="47" t="s">
        <v>40</v>
      </c>
      <c r="B13" s="44">
        <f>B12*B11</f>
        <v>472.5</v>
      </c>
      <c r="C13" s="44">
        <f t="shared" ref="C13:D13" si="0">C12*C11</f>
        <v>276.08</v>
      </c>
      <c r="D13" s="44">
        <f t="shared" si="0"/>
        <v>314.36</v>
      </c>
    </row>
    <row r="14" spans="1:11" x14ac:dyDescent="0.25">
      <c r="A14" s="47"/>
      <c r="B14" s="50"/>
      <c r="C14" s="50"/>
      <c r="D14" s="50"/>
    </row>
    <row r="15" spans="1:11" x14ac:dyDescent="0.25">
      <c r="A15" s="47" t="s">
        <v>54</v>
      </c>
      <c r="B15" s="44">
        <f>135.11+(B12-40)*1.2*0.4+(B12-7)*0.3*0.44+B12*0.44*0.33+95.48</f>
        <v>312.68799999999999</v>
      </c>
      <c r="C15" s="44">
        <f>70.12+C12/3*0.44+C12/3*0.33+65.75</f>
        <v>144.59666666666666</v>
      </c>
      <c r="D15" s="44">
        <f>93.45+IF(D12&lt;40, 90*0.44,145*0.44)+26*0.44+18.5</f>
        <v>187.19</v>
      </c>
    </row>
    <row r="16" spans="1:11" x14ac:dyDescent="0.25">
      <c r="A16" s="51" t="s">
        <v>56</v>
      </c>
      <c r="B16" s="52">
        <f>B13-B15</f>
        <v>159.81200000000001</v>
      </c>
      <c r="C16" s="52">
        <f>C13-C15</f>
        <v>131.48333333333332</v>
      </c>
      <c r="D16" s="52">
        <f>D13-D15</f>
        <v>127.17000000000002</v>
      </c>
    </row>
    <row r="17" spans="1:4" x14ac:dyDescent="0.25">
      <c r="A17" s="47"/>
      <c r="B17" s="50"/>
      <c r="C17" s="50"/>
      <c r="D17" s="50"/>
    </row>
    <row r="18" spans="1:4" x14ac:dyDescent="0.25">
      <c r="A18" s="47" t="s">
        <v>58</v>
      </c>
      <c r="B18" s="50">
        <v>66.17</v>
      </c>
      <c r="C18" s="50">
        <v>42.4</v>
      </c>
      <c r="D18" s="50">
        <v>45.7</v>
      </c>
    </row>
    <row r="19" spans="1:4" x14ac:dyDescent="0.25">
      <c r="A19" s="47" t="s">
        <v>55</v>
      </c>
      <c r="B19" s="50">
        <v>123</v>
      </c>
      <c r="C19" s="50">
        <v>123</v>
      </c>
      <c r="D19" s="50">
        <v>123</v>
      </c>
    </row>
    <row r="20" spans="1:4" x14ac:dyDescent="0.25">
      <c r="A20" s="47"/>
      <c r="B20" s="50"/>
      <c r="C20" s="50"/>
      <c r="D20" s="50"/>
    </row>
    <row r="21" spans="1:4" ht="31.5" x14ac:dyDescent="0.25">
      <c r="A21" s="55" t="s">
        <v>57</v>
      </c>
      <c r="B21" s="53">
        <f>B16-B18-B19</f>
        <v>-29.35799999999999</v>
      </c>
      <c r="C21" s="53">
        <f>C16-C18-C19</f>
        <v>-33.916666666666686</v>
      </c>
      <c r="D21" s="53">
        <f>D16-D18-D19</f>
        <v>-41.529999999999987</v>
      </c>
    </row>
  </sheetData>
  <sheetProtection algorithmName="SHA-512" hashValue="H7nU6AEBKtPgJNi6A3rAxPyO1QwSLuf4bguEfKMvSuXHo6kQTCp8lw5+MfTOeTtQPfGYP0BYkq1cJp4dnxrW8A==" saltValue="vG6+2P2sefW2sxnZFEMbqw==" spinCount="100000" sheet="1" objects="1" scenarios="1"/>
  <mergeCells count="4">
    <mergeCell ref="E3:F3"/>
    <mergeCell ref="B3:D3"/>
    <mergeCell ref="B4:D4"/>
    <mergeCell ref="B9:D9"/>
  </mergeCells>
  <pageMargins left="0.7" right="0.7" top="0.75" bottom="0.75" header="0.3" footer="0.3"/>
  <ignoredErrors>
    <ignoredError sqref="B11:D1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19"/>
  <sheetViews>
    <sheetView topLeftCell="B1" workbookViewId="0">
      <selection activeCell="S12" sqref="S12"/>
    </sheetView>
  </sheetViews>
  <sheetFormatPr defaultRowHeight="15" x14ac:dyDescent="0.25"/>
  <cols>
    <col min="4" max="4" width="11.42578125" bestFit="1" customWidth="1"/>
    <col min="8" max="8" width="9.7109375" bestFit="1" customWidth="1"/>
    <col min="9" max="11" width="9.7109375" customWidth="1"/>
  </cols>
  <sheetData>
    <row r="1" spans="1:29" x14ac:dyDescent="0.25">
      <c r="B1" s="23">
        <v>135</v>
      </c>
    </row>
    <row r="2" spans="1:29" x14ac:dyDescent="0.25">
      <c r="B2" s="25">
        <v>3.5</v>
      </c>
    </row>
    <row r="3" spans="1:29" x14ac:dyDescent="0.25">
      <c r="B3" s="25">
        <f>'Corn Budget'!D18</f>
        <v>135.11000000000004</v>
      </c>
    </row>
    <row r="4" spans="1:29" x14ac:dyDescent="0.25">
      <c r="B4" s="25"/>
    </row>
    <row r="5" spans="1:29" x14ac:dyDescent="0.25">
      <c r="B5" s="25"/>
    </row>
    <row r="6" spans="1:29" x14ac:dyDescent="0.25">
      <c r="B6" s="25"/>
    </row>
    <row r="7" spans="1:29" x14ac:dyDescent="0.25">
      <c r="B7" s="25"/>
    </row>
    <row r="8" spans="1:29" x14ac:dyDescent="0.25">
      <c r="A8" t="s">
        <v>38</v>
      </c>
      <c r="B8" t="s">
        <v>33</v>
      </c>
      <c r="C8" t="s">
        <v>47</v>
      </c>
      <c r="D8" t="s">
        <v>48</v>
      </c>
      <c r="E8" t="s">
        <v>40</v>
      </c>
      <c r="F8" t="s">
        <v>49</v>
      </c>
      <c r="G8" t="s">
        <v>50</v>
      </c>
      <c r="M8" t="s">
        <v>39</v>
      </c>
      <c r="N8" t="s">
        <v>33</v>
      </c>
      <c r="O8" t="s">
        <v>37</v>
      </c>
      <c r="P8" t="s">
        <v>40</v>
      </c>
      <c r="T8" t="s">
        <v>36</v>
      </c>
      <c r="U8" t="s">
        <v>33</v>
      </c>
      <c r="V8" t="s">
        <v>37</v>
      </c>
      <c r="W8" t="s">
        <v>40</v>
      </c>
      <c r="AA8" t="s">
        <v>46</v>
      </c>
      <c r="AB8" t="s">
        <v>33</v>
      </c>
      <c r="AC8" t="s">
        <v>40</v>
      </c>
    </row>
    <row r="9" spans="1:29" x14ac:dyDescent="0.25">
      <c r="B9">
        <v>0</v>
      </c>
      <c r="C9">
        <v>1</v>
      </c>
      <c r="D9">
        <f>C9*$B$1</f>
        <v>135</v>
      </c>
      <c r="E9" s="32">
        <f>D9*$B$2</f>
        <v>472.5</v>
      </c>
      <c r="F9" s="32">
        <f>$B$3+IF(D9&gt;100, 'Corn Budget'!$B$7,'Corn Budget'!$B$7*17/28)+D9*0.4+D9/5*0.44+D9/3*0.33</f>
        <v>311.32000000000005</v>
      </c>
      <c r="G9" s="32">
        <v>189.18</v>
      </c>
      <c r="H9" s="32">
        <f>E9-F9</f>
        <v>161.17999999999995</v>
      </c>
      <c r="I9" s="32"/>
      <c r="J9" s="32"/>
      <c r="K9" s="32"/>
      <c r="N9">
        <v>0</v>
      </c>
      <c r="O9">
        <v>1</v>
      </c>
      <c r="P9">
        <f>'Saline-Revenue Data'!O9*'Soybean Budget'!$B$2*'Soybean Budget'!$B$3</f>
        <v>276.08</v>
      </c>
      <c r="U9">
        <v>0</v>
      </c>
      <c r="V9">
        <v>1</v>
      </c>
      <c r="W9" s="32">
        <f>'Saline-Revenue Data'!V9*'HRSW Budget'!$B$8*'HRSW Budget'!$B$9</f>
        <v>314.36</v>
      </c>
      <c r="X9" s="32"/>
      <c r="Y9" s="32"/>
      <c r="AA9">
        <v>1</v>
      </c>
      <c r="AB9">
        <f>'Salinity Calculator'!B2</f>
        <v>1</v>
      </c>
      <c r="AC9">
        <v>500</v>
      </c>
    </row>
    <row r="10" spans="1:29" x14ac:dyDescent="0.25">
      <c r="B10">
        <v>1.96</v>
      </c>
      <c r="C10">
        <v>1</v>
      </c>
      <c r="D10">
        <f t="shared" ref="D10:D19" si="0">C10*$B$1</f>
        <v>135</v>
      </c>
      <c r="E10" s="32">
        <f t="shared" ref="E10:E19" si="1">D10*$B$2</f>
        <v>472.5</v>
      </c>
      <c r="F10" s="32">
        <f>$B$3+IF(D10&gt;100, 'Corn Budget'!$B$7,'Corn Budget'!$B$7*17/28)+D10*0.4+D10/5*0.44+D10/3*0.33</f>
        <v>311.32000000000005</v>
      </c>
      <c r="G10" s="32">
        <v>189.18</v>
      </c>
      <c r="H10" s="32">
        <f t="shared" ref="H10:H19" si="2">E10-F10</f>
        <v>161.17999999999995</v>
      </c>
      <c r="I10" s="32"/>
      <c r="J10" s="32"/>
      <c r="K10" s="32"/>
      <c r="N10">
        <v>1.1200000000000001</v>
      </c>
      <c r="O10">
        <v>1</v>
      </c>
      <c r="P10">
        <f>'Saline-Revenue Data'!O10*'Soybean Budget'!$B$2*'Soybean Budget'!$B$3</f>
        <v>276.08</v>
      </c>
      <c r="U10">
        <v>4.5</v>
      </c>
      <c r="V10">
        <v>1</v>
      </c>
      <c r="W10" s="32">
        <f>'Saline-Revenue Data'!V10*'HRSW Budget'!$B$8*'HRSW Budget'!$B$9</f>
        <v>314.36</v>
      </c>
      <c r="X10" s="32"/>
      <c r="Y10" s="32"/>
      <c r="AA10">
        <v>0</v>
      </c>
      <c r="AB10">
        <f>AB9</f>
        <v>1</v>
      </c>
      <c r="AC10">
        <v>0</v>
      </c>
    </row>
    <row r="11" spans="1:29" x14ac:dyDescent="0.25">
      <c r="B11">
        <v>2.96</v>
      </c>
      <c r="C11">
        <f t="shared" ref="C11:C18" si="3">C10-0.118</f>
        <v>0.88200000000000001</v>
      </c>
      <c r="D11">
        <f t="shared" si="0"/>
        <v>119.07000000000001</v>
      </c>
      <c r="E11" s="32">
        <f t="shared" si="1"/>
        <v>416.745</v>
      </c>
      <c r="F11" s="32">
        <f>$B$3+IF(D11&gt;100, 'Corn Budget'!$B$7,'Corn Budget'!$B$7*17/28)+D11*0.4+D11/5*0.44+D11/3*0.33</f>
        <v>301.79386</v>
      </c>
      <c r="G11" s="32">
        <v>189.18</v>
      </c>
      <c r="H11" s="32">
        <f t="shared" si="2"/>
        <v>114.95114000000001</v>
      </c>
      <c r="I11" s="32"/>
      <c r="J11" s="32"/>
      <c r="K11" s="32"/>
      <c r="N11">
        <v>2.12</v>
      </c>
      <c r="O11">
        <f>O10-0.21</f>
        <v>0.79</v>
      </c>
      <c r="P11">
        <f>'Saline-Revenue Data'!O11*'Soybean Budget'!$B$2*'Soybean Budget'!$B$3</f>
        <v>218.10319999999999</v>
      </c>
      <c r="U11">
        <v>5.5</v>
      </c>
      <c r="V11">
        <f>V9-0.23</f>
        <v>0.77</v>
      </c>
      <c r="W11" s="32">
        <f>'Saline-Revenue Data'!V11*'HRSW Budget'!$B$8*'HRSW Budget'!$B$9</f>
        <v>242.05720000000002</v>
      </c>
      <c r="X11" s="32"/>
      <c r="Y11" s="32"/>
      <c r="Z11" s="33"/>
    </row>
    <row r="12" spans="1:29" x14ac:dyDescent="0.25">
      <c r="B12">
        <v>3.96</v>
      </c>
      <c r="C12">
        <f t="shared" si="3"/>
        <v>0.76400000000000001</v>
      </c>
      <c r="D12">
        <f t="shared" si="0"/>
        <v>103.14</v>
      </c>
      <c r="E12" s="32">
        <f t="shared" si="1"/>
        <v>360.99</v>
      </c>
      <c r="F12" s="32">
        <f>$B$3+IF(D12&gt;100, 'Corn Budget'!$B$7,'Corn Budget'!$B$7*17/28)+D12*0.4+D12/5*0.44+D12/3*0.33</f>
        <v>292.26772</v>
      </c>
      <c r="G12" s="32">
        <v>189.18</v>
      </c>
      <c r="H12" s="32">
        <f t="shared" si="2"/>
        <v>68.722280000000012</v>
      </c>
      <c r="I12" s="32"/>
      <c r="J12" s="32"/>
      <c r="K12" s="32"/>
      <c r="N12">
        <v>3.12</v>
      </c>
      <c r="O12">
        <f>O11-0.21</f>
        <v>0.58000000000000007</v>
      </c>
      <c r="P12">
        <f>'Saline-Revenue Data'!O12*'Soybean Budget'!$B$2*'Soybean Budget'!$B$3</f>
        <v>160.12640000000002</v>
      </c>
      <c r="U12">
        <v>6.5</v>
      </c>
      <c r="V12">
        <f>V11-0.21</f>
        <v>0.56000000000000005</v>
      </c>
      <c r="W12" s="32">
        <f>'Saline-Revenue Data'!V12*'HRSW Budget'!$B$8*'HRSW Budget'!$B$9</f>
        <v>176.04160000000002</v>
      </c>
      <c r="X12" s="32"/>
      <c r="Y12" s="32"/>
    </row>
    <row r="13" spans="1:29" x14ac:dyDescent="0.25">
      <c r="B13">
        <v>4.96</v>
      </c>
      <c r="C13">
        <f t="shared" si="3"/>
        <v>0.64600000000000002</v>
      </c>
      <c r="D13">
        <f t="shared" si="0"/>
        <v>87.210000000000008</v>
      </c>
      <c r="E13" s="32">
        <f t="shared" si="1"/>
        <v>305.23500000000001</v>
      </c>
      <c r="F13" s="32">
        <f>$B$3+IF(D13&gt;100, 'Corn Budget'!$B$7,'Corn Budget'!$B$7*17/28)+D13*0.4+D13/5*0.44+D13/3*0.33</f>
        <v>245.23158000000004</v>
      </c>
      <c r="G13" s="32">
        <v>189.18</v>
      </c>
      <c r="H13" s="32">
        <f t="shared" si="2"/>
        <v>60.003419999999977</v>
      </c>
      <c r="I13" s="32"/>
      <c r="J13" s="32"/>
      <c r="K13" s="32"/>
      <c r="N13">
        <v>4.12</v>
      </c>
      <c r="O13">
        <f>O12-0.21</f>
        <v>0.37000000000000011</v>
      </c>
      <c r="P13">
        <f>'Saline-Revenue Data'!O13*'Soybean Budget'!$B$2*'Soybean Budget'!$B$3</f>
        <v>102.14960000000002</v>
      </c>
      <c r="U13">
        <v>7.5</v>
      </c>
      <c r="V13">
        <f>V12-0.23</f>
        <v>0.33000000000000007</v>
      </c>
      <c r="W13" s="32">
        <f>'Saline-Revenue Data'!V13*'HRSW Budget'!$B$8*'HRSW Budget'!$B$9</f>
        <v>103.73880000000003</v>
      </c>
      <c r="X13" s="32"/>
      <c r="Y13" s="32"/>
    </row>
    <row r="14" spans="1:29" x14ac:dyDescent="0.25">
      <c r="B14">
        <v>5.96</v>
      </c>
      <c r="C14">
        <f t="shared" si="3"/>
        <v>0.52800000000000002</v>
      </c>
      <c r="D14">
        <f t="shared" si="0"/>
        <v>71.28</v>
      </c>
      <c r="E14" s="32">
        <f t="shared" si="1"/>
        <v>249.48000000000002</v>
      </c>
      <c r="F14" s="32">
        <f>$B$3+IF(D14&gt;100, 'Corn Budget'!$B$7,'Corn Budget'!$B$7*17/28)+D14*0.4+D14/5*0.44+D14/3*0.33</f>
        <v>235.70544000000004</v>
      </c>
      <c r="G14" s="32">
        <v>189.18</v>
      </c>
      <c r="H14" s="32">
        <f t="shared" si="2"/>
        <v>13.77455999999998</v>
      </c>
      <c r="I14" s="32"/>
      <c r="J14" s="32"/>
      <c r="K14" s="32"/>
      <c r="N14">
        <v>5.12</v>
      </c>
      <c r="O14">
        <f>O13-0.21</f>
        <v>0.16000000000000011</v>
      </c>
      <c r="P14">
        <f>'Saline-Revenue Data'!O14*'Soybean Budget'!$B$2*'Soybean Budget'!$B$3</f>
        <v>44.172800000000031</v>
      </c>
      <c r="U14">
        <v>8.5</v>
      </c>
      <c r="V14">
        <f>V13-0.21</f>
        <v>0.12000000000000008</v>
      </c>
      <c r="W14" s="32">
        <f>'Saline-Revenue Data'!V14*'HRSW Budget'!$B$8*'HRSW Budget'!$B$9</f>
        <v>37.723200000000027</v>
      </c>
      <c r="X14" s="32"/>
      <c r="Y14" s="32"/>
    </row>
    <row r="15" spans="1:29" x14ac:dyDescent="0.25">
      <c r="B15">
        <v>6.96</v>
      </c>
      <c r="C15">
        <f t="shared" si="3"/>
        <v>0.41000000000000003</v>
      </c>
      <c r="D15">
        <f t="shared" si="0"/>
        <v>55.35</v>
      </c>
      <c r="E15" s="32">
        <f t="shared" si="1"/>
        <v>193.72499999999999</v>
      </c>
      <c r="F15" s="32">
        <f>$B$3+IF(D15&gt;100, 'Corn Budget'!$B$7,'Corn Budget'!$B$7*17/28)+D15*0.4+D15/5*0.44+D15/3*0.33</f>
        <v>226.17930000000004</v>
      </c>
      <c r="G15" s="32">
        <v>189.18</v>
      </c>
      <c r="H15" s="32">
        <f t="shared" si="2"/>
        <v>-32.454300000000046</v>
      </c>
      <c r="I15" s="32"/>
      <c r="J15" s="32"/>
      <c r="K15" s="32"/>
      <c r="N15">
        <v>6</v>
      </c>
      <c r="O15">
        <v>0</v>
      </c>
      <c r="P15">
        <f>'Saline-Revenue Data'!O15*'Soybean Budget'!$B$2*'Soybean Budget'!$B$3</f>
        <v>0</v>
      </c>
      <c r="U15">
        <v>9</v>
      </c>
      <c r="V15">
        <v>0</v>
      </c>
      <c r="W15" s="32">
        <f>'Saline-Revenue Data'!V15*'HRSW Budget'!$B$8*'HRSW Budget'!$B$9</f>
        <v>0</v>
      </c>
      <c r="X15" s="32"/>
      <c r="Y15" s="32"/>
    </row>
    <row r="16" spans="1:29" x14ac:dyDescent="0.25">
      <c r="B16">
        <v>7.96</v>
      </c>
      <c r="C16">
        <f t="shared" si="3"/>
        <v>0.29200000000000004</v>
      </c>
      <c r="D16">
        <f t="shared" si="0"/>
        <v>39.42</v>
      </c>
      <c r="E16" s="32">
        <f t="shared" si="1"/>
        <v>137.97</v>
      </c>
      <c r="F16" s="32">
        <f>$B$3+IF(D16&gt;100, 'Corn Budget'!$B$7,'Corn Budget'!$B$7*17/28)+D16*0.4+D16/5*0.44+D16/3*0.33</f>
        <v>216.65316000000004</v>
      </c>
      <c r="G16" s="32">
        <v>189.18</v>
      </c>
      <c r="H16" s="32">
        <f t="shared" si="2"/>
        <v>-78.683160000000044</v>
      </c>
      <c r="I16" s="32"/>
      <c r="J16" s="32"/>
      <c r="K16" s="32"/>
    </row>
    <row r="17" spans="2:11" x14ac:dyDescent="0.25">
      <c r="B17">
        <v>8.9600000000000009</v>
      </c>
      <c r="C17">
        <f t="shared" si="3"/>
        <v>0.17400000000000004</v>
      </c>
      <c r="D17">
        <f t="shared" si="0"/>
        <v>23.490000000000006</v>
      </c>
      <c r="E17" s="32">
        <f t="shared" si="1"/>
        <v>82.215000000000018</v>
      </c>
      <c r="F17" s="32">
        <f>$B$3+IF(D17&gt;100, 'Corn Budget'!$B$7,'Corn Budget'!$B$7*17/28)+D17*0.4+D17/5*0.44+D17/3*0.33</f>
        <v>207.12702000000004</v>
      </c>
      <c r="G17" s="32">
        <v>189.18</v>
      </c>
      <c r="H17" s="32">
        <f t="shared" si="2"/>
        <v>-124.91202000000003</v>
      </c>
      <c r="I17" s="32"/>
      <c r="J17" s="32"/>
      <c r="K17" s="32"/>
    </row>
    <row r="18" spans="2:11" x14ac:dyDescent="0.25">
      <c r="B18">
        <v>9.9600000000000009</v>
      </c>
      <c r="C18">
        <f t="shared" si="3"/>
        <v>5.600000000000005E-2</v>
      </c>
      <c r="D18">
        <f t="shared" si="0"/>
        <v>7.5600000000000067</v>
      </c>
      <c r="E18" s="32">
        <f t="shared" si="1"/>
        <v>26.460000000000022</v>
      </c>
      <c r="F18" s="32">
        <f>$B$3+IF(D18&gt;100, 'Corn Budget'!$B$7,'Corn Budget'!$B$7*17/28)+D18*0.4+D18/5*0.44+D18/3*0.33</f>
        <v>197.60088000000005</v>
      </c>
      <c r="G18" s="32">
        <v>189.18</v>
      </c>
      <c r="H18" s="32">
        <f t="shared" si="2"/>
        <v>-171.14088000000004</v>
      </c>
      <c r="I18" s="32"/>
      <c r="J18" s="32"/>
      <c r="K18" s="32"/>
    </row>
    <row r="19" spans="2:11" x14ac:dyDescent="0.25">
      <c r="B19">
        <v>10.46</v>
      </c>
      <c r="C19">
        <v>0</v>
      </c>
      <c r="D19">
        <f t="shared" si="0"/>
        <v>0</v>
      </c>
      <c r="E19" s="32">
        <f t="shared" si="1"/>
        <v>0</v>
      </c>
      <c r="F19" s="32">
        <f>$B$3+IF(D19&gt;100, 'Corn Budget'!$B$7,'Corn Budget'!$B$7*17/28)+D19*0.4+D19/5*0.44+D19/3*0.33</f>
        <v>193.08000000000004</v>
      </c>
      <c r="G19" s="32">
        <v>189.18</v>
      </c>
      <c r="H19" s="32">
        <f t="shared" si="2"/>
        <v>-193.08000000000004</v>
      </c>
      <c r="I19" s="32"/>
      <c r="J19" s="32"/>
      <c r="K19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HRSW Budget</vt:lpstr>
      <vt:lpstr>Corn Budget</vt:lpstr>
      <vt:lpstr>Soybean Budget</vt:lpstr>
      <vt:lpstr>Intro</vt:lpstr>
      <vt:lpstr>Salinity Calculator</vt:lpstr>
      <vt:lpstr>Saline-Revenue Data</vt:lpstr>
      <vt:lpstr>Corn Returns</vt:lpstr>
    </vt:vector>
  </TitlesOfParts>
  <Company>North Dakota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Ripplinger</dc:creator>
  <cp:lastModifiedBy>David Ripplinger</cp:lastModifiedBy>
  <dcterms:created xsi:type="dcterms:W3CDTF">2016-06-08T21:44:23Z</dcterms:created>
  <dcterms:modified xsi:type="dcterms:W3CDTF">2016-08-23T19:57:14Z</dcterms:modified>
</cp:coreProperties>
</file>